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" sheetId="6" r:id="rId6"/>
  </sheets>
  <externalReferences>
    <externalReference r:id="rId9"/>
  </externalReferences>
  <definedNames>
    <definedName name="_xlnm.Print_Area" localSheetId="5">'січень'!$A$1:$R$87</definedName>
  </definedNames>
  <calcPr fullCalcOnLoad="1"/>
</workbook>
</file>

<file path=xl/sharedStrings.xml><?xml version="1.0" encoding="utf-8"?>
<sst xmlns="http://schemas.openxmlformats.org/spreadsheetml/2006/main" count="756" uniqueCount="166">
  <si>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</si>
  <si>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</si>
  <si>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</si>
  <si>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</si>
  <si>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</si>
  <si>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</si>
  <si>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</si>
  <si>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</si>
  <si>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</si>
  <si>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</si>
  <si>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</si>
  <si>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</si>
  <si>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</si>
  <si>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</si>
  <si>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</si>
  <si>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</si>
  <si>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</si>
  <si>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</si>
  <si>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</si>
  <si>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</si>
  <si>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</si>
  <si>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</si>
  <si>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</si>
  <si>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</si>
  <si>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</si>
  <si>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</si>
  <si>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</si>
  <si>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</si>
  <si>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</si>
  <si>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</si>
  <si>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</si>
  <si>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</si>
  <si>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</si>
  <si>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</si>
  <si>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</si>
  <si>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</si>
  <si>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</si>
  <si>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</si>
  <si>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</si>
  <si>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</si>
  <si>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</si>
  <si>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</si>
  <si>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</si>
  <si>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</si>
  <si>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</si>
  <si>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</si>
  <si>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</si>
  <si>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</si>
  <si>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</si>
  <si>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</si>
  <si>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</si>
  <si>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</si>
  <si>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</si>
  <si>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</si>
  <si>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</si>
  <si>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</si>
  <si>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</si>
  <si>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</si>
  <si>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</si>
  <si>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</si>
  <si>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</si>
  <si>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</si>
  <si>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</si>
  <si>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</si>
  <si>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</si>
  <si>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</si>
  <si>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</si>
  <si>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</si>
  <si>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</si>
  <si>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</si>
  <si>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</si>
  <si>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</si>
  <si>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</si>
  <si>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</si>
  <si>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</si>
  <si>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</si>
  <si>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</si>
  <si>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</si>
  <si>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</si>
  <si>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</si>
  <si>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</si>
  <si>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</si>
  <si>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</si>
  <si>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</si>
  <si>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</si>
  <si>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</si>
  <si>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</si>
  <si>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</si>
  <si>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</si>
  <si>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</si>
  <si>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</si>
  <si>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</si>
  <si>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</si>
  <si>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</si>
  <si>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</si>
  <si>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</si>
  <si>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</si>
  <si>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</si>
  <si>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</si>
  <si>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</si>
  <si>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</si>
  <si>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</si>
  <si>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</si>
  <si>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</si>
  <si>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</si>
  <si>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</si>
  <si>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</si>
  <si>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</si>
  <si>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</si>
  <si>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</si>
  <si>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</si>
  <si>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</si>
  <si>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</si>
  <si>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</si>
  <si>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</si>
  <si>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</si>
  <si>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</si>
  <si>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</si>
  <si>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</si>
  <si>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</si>
  <si>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</si>
  <si>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</si>
  <si>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</si>
  <si>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</si>
  <si>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</si>
  <si>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</si>
  <si>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</si>
  <si>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</si>
  <si>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</si>
  <si>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</si>
  <si>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</si>
  <si>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</si>
  <si>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</si>
  <si>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</si>
  <si>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</si>
  <si>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</si>
  <si>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</si>
  <si>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</si>
  <si>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</si>
  <si>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</si>
  <si>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</si>
  <si>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</si>
  <si>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</si>
  <si>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</si>
  <si>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</si>
  <si>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</si>
  <si>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</si>
  <si>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</si>
  <si>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</si>
  <si>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</si>
  <si>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</si>
  <si>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</si>
  <si>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</si>
  <si>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</si>
  <si>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</si>
  <si>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</si>
  <si>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</si>
  <si>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</si>
  <si>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</si>
  <si>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</si>
  <si>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</si>
  <si>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</si>
  <si>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</si>
  <si>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</si>
  <si>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13.05.2016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</si>
  <si>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12.05.16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</si>
</sst>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7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6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5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6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7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8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3"/>
      <sheetName val="квітень3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130359.16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8"/>
  <sheetViews>
    <sheetView tabSelected="1" zoomScale="87" zoomScaleNormal="87" zoomScalePageLayoutView="0" workbookViewId="0" topLeftCell="B1">
      <pane xSplit="2" ySplit="8" topLeftCell="D8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86" sqref="F8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37" t="s">
        <v>164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92"/>
      <c r="R1" s="93"/>
    </row>
    <row r="2" spans="2:18" s="1" customFormat="1" ht="15.75" customHeight="1">
      <c r="B2" s="238"/>
      <c r="C2" s="238"/>
      <c r="D2" s="23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39"/>
      <c r="B3" s="241"/>
      <c r="C3" s="242" t="s">
        <v>0</v>
      </c>
      <c r="D3" s="243" t="s">
        <v>121</v>
      </c>
      <c r="E3" s="34"/>
      <c r="F3" s="244" t="s">
        <v>26</v>
      </c>
      <c r="G3" s="245"/>
      <c r="H3" s="245"/>
      <c r="I3" s="245"/>
      <c r="J3" s="246"/>
      <c r="K3" s="89"/>
      <c r="L3" s="89"/>
      <c r="M3" s="247" t="s">
        <v>162</v>
      </c>
      <c r="N3" s="250" t="s">
        <v>163</v>
      </c>
      <c r="O3" s="250"/>
      <c r="P3" s="250"/>
      <c r="Q3" s="250"/>
      <c r="R3" s="250"/>
    </row>
    <row r="4" spans="1:18" ht="22.5" customHeight="1">
      <c r="A4" s="239"/>
      <c r="B4" s="241"/>
      <c r="C4" s="242"/>
      <c r="D4" s="243"/>
      <c r="E4" s="251" t="s">
        <v>158</v>
      </c>
      <c r="F4" s="253" t="s">
        <v>34</v>
      </c>
      <c r="G4" s="255" t="s">
        <v>159</v>
      </c>
      <c r="H4" s="248" t="s">
        <v>160</v>
      </c>
      <c r="I4" s="255" t="s">
        <v>122</v>
      </c>
      <c r="J4" s="248" t="s">
        <v>123</v>
      </c>
      <c r="K4" s="91" t="s">
        <v>65</v>
      </c>
      <c r="L4" s="96" t="s">
        <v>64</v>
      </c>
      <c r="M4" s="248"/>
      <c r="N4" s="257" t="s">
        <v>165</v>
      </c>
      <c r="O4" s="255" t="s">
        <v>50</v>
      </c>
      <c r="P4" s="259" t="s">
        <v>49</v>
      </c>
      <c r="Q4" s="97" t="s">
        <v>65</v>
      </c>
      <c r="R4" s="98" t="s">
        <v>64</v>
      </c>
    </row>
    <row r="5" spans="1:18" ht="78.75" customHeight="1">
      <c r="A5" s="240"/>
      <c r="B5" s="241"/>
      <c r="C5" s="242"/>
      <c r="D5" s="243"/>
      <c r="E5" s="252"/>
      <c r="F5" s="254"/>
      <c r="G5" s="256"/>
      <c r="H5" s="249"/>
      <c r="I5" s="256"/>
      <c r="J5" s="249"/>
      <c r="K5" s="260" t="s">
        <v>161</v>
      </c>
      <c r="L5" s="261"/>
      <c r="M5" s="249"/>
      <c r="N5" s="258"/>
      <c r="O5" s="256"/>
      <c r="P5" s="259"/>
      <c r="Q5" s="260" t="s">
        <v>120</v>
      </c>
      <c r="R5" s="26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337436.48</v>
      </c>
      <c r="F8" s="191">
        <f>F9+F15+F18+F19+F20+F32+F17</f>
        <v>313124.9799999999</v>
      </c>
      <c r="G8" s="191">
        <f aca="true" t="shared" si="0" ref="G8:G21">F8-E8</f>
        <v>-24311.50000000006</v>
      </c>
      <c r="H8" s="192">
        <f>F8/E8*100</f>
        <v>92.7952366027526</v>
      </c>
      <c r="I8" s="193">
        <f>F8-D8</f>
        <v>-527925.02</v>
      </c>
      <c r="J8" s="193">
        <f>F8/D8*100</f>
        <v>37.23024552642529</v>
      </c>
      <c r="K8" s="191">
        <f>F8-252732.09</f>
        <v>60392.88999999993</v>
      </c>
      <c r="L8" s="191">
        <f>F8/252732.09*100</f>
        <v>123.89601178069628</v>
      </c>
      <c r="M8" s="191">
        <f>M9+M15+M18+M19+M20+M32+M17</f>
        <v>65761.8</v>
      </c>
      <c r="N8" s="191">
        <f>N9+N15+N18+N19+N20+N32+N17</f>
        <v>18994.350000000006</v>
      </c>
      <c r="O8" s="191">
        <f>N8-M8</f>
        <v>-46767.45</v>
      </c>
      <c r="P8" s="191">
        <f>N8/M8*100</f>
        <v>28.883561581343585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179402.27</v>
      </c>
      <c r="F9" s="196">
        <v>168475.27</v>
      </c>
      <c r="G9" s="190">
        <f t="shared" si="0"/>
        <v>-10927</v>
      </c>
      <c r="H9" s="197">
        <f>F9/E9*100</f>
        <v>93.90921865146969</v>
      </c>
      <c r="I9" s="198">
        <f>F9-D9</f>
        <v>-291224.73</v>
      </c>
      <c r="J9" s="198">
        <f>F9/D9*100</f>
        <v>36.64896019142919</v>
      </c>
      <c r="K9" s="199">
        <f>F9-138082.5</f>
        <v>30392.76999999999</v>
      </c>
      <c r="L9" s="199">
        <f>F9/138082.5*100</f>
        <v>122.01058787319174</v>
      </c>
      <c r="M9" s="197">
        <f>E9-квітень!E9</f>
        <v>33619</v>
      </c>
      <c r="N9" s="200">
        <f>F9-квітень!F9</f>
        <v>10437.470000000001</v>
      </c>
      <c r="O9" s="201">
        <f>N9-M9</f>
        <v>-23181.53</v>
      </c>
      <c r="P9" s="198">
        <f>N9/M9*100</f>
        <v>31.046342841845387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160645.84</v>
      </c>
      <c r="F10" s="171">
        <v>148059.96</v>
      </c>
      <c r="G10" s="109">
        <f t="shared" si="0"/>
        <v>-12585.880000000005</v>
      </c>
      <c r="H10" s="32">
        <f aca="true" t="shared" si="1" ref="H10:H31">F10/E10*100</f>
        <v>92.1654491644477</v>
      </c>
      <c r="I10" s="110">
        <f aca="true" t="shared" si="2" ref="I10:I32">F10-D10</f>
        <v>-263380.04000000004</v>
      </c>
      <c r="J10" s="110">
        <f aca="true" t="shared" si="3" ref="J10:J31">F10/D10*100</f>
        <v>35.98579622788255</v>
      </c>
      <c r="K10" s="112">
        <f>F10-122193.74</f>
        <v>25866.219999999987</v>
      </c>
      <c r="L10" s="112">
        <f>F10/122193.74*100</f>
        <v>121.16820387034555</v>
      </c>
      <c r="M10" s="111">
        <f>E10-квітень!E10</f>
        <v>29729</v>
      </c>
      <c r="N10" s="179">
        <f>F10-квітень!F10</f>
        <v>10243.970000000001</v>
      </c>
      <c r="O10" s="112">
        <f aca="true" t="shared" si="4" ref="O10:O32">N10-M10</f>
        <v>-19485.03</v>
      </c>
      <c r="P10" s="42">
        <f aca="true" t="shared" si="5" ref="P10:P25">N10/M10*100</f>
        <v>34.45783578324196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10264.94</v>
      </c>
      <c r="F11" s="171">
        <v>11562.84</v>
      </c>
      <c r="G11" s="109">
        <f t="shared" si="0"/>
        <v>1297.8999999999996</v>
      </c>
      <c r="H11" s="32">
        <f t="shared" si="1"/>
        <v>112.64400960940833</v>
      </c>
      <c r="I11" s="110">
        <f t="shared" si="2"/>
        <v>-11437.16</v>
      </c>
      <c r="J11" s="110">
        <f t="shared" si="3"/>
        <v>50.27321739130435</v>
      </c>
      <c r="K11" s="112">
        <f>F11-7771.39</f>
        <v>3791.45</v>
      </c>
      <c r="L11" s="112">
        <f>F11/7771.39*100</f>
        <v>148.7872825839393</v>
      </c>
      <c r="M11" s="111">
        <f>E11-квітень!E11</f>
        <v>1630</v>
      </c>
      <c r="N11" s="179">
        <f>F11-квітень!F11</f>
        <v>75.29999999999927</v>
      </c>
      <c r="O11" s="112">
        <f t="shared" si="4"/>
        <v>-1554.7000000000007</v>
      </c>
      <c r="P11" s="42">
        <f t="shared" si="5"/>
        <v>4.619631901840447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4207.59</v>
      </c>
      <c r="G12" s="109">
        <f t="shared" si="0"/>
        <v>1986.98</v>
      </c>
      <c r="H12" s="32">
        <f t="shared" si="1"/>
        <v>189.47901702685297</v>
      </c>
      <c r="I12" s="110">
        <f t="shared" si="2"/>
        <v>-2292.41</v>
      </c>
      <c r="J12" s="110">
        <f t="shared" si="3"/>
        <v>64.73215384615385</v>
      </c>
      <c r="K12" s="112">
        <f>F12-2169.03</f>
        <v>2038.56</v>
      </c>
      <c r="L12" s="112">
        <f>F12/2169.03*100</f>
        <v>193.98486881232623</v>
      </c>
      <c r="M12" s="111">
        <f>E12-квітень!E12</f>
        <v>530.0000000000002</v>
      </c>
      <c r="N12" s="179">
        <f>F12-квітень!F12</f>
        <v>111.15999999999985</v>
      </c>
      <c r="O12" s="112">
        <f t="shared" si="4"/>
        <v>-418.8400000000004</v>
      </c>
      <c r="P12" s="42">
        <f t="shared" si="5"/>
        <v>20.973584905660342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3218.52</v>
      </c>
      <c r="G13" s="109">
        <f t="shared" si="0"/>
        <v>-546.3200000000002</v>
      </c>
      <c r="H13" s="32">
        <f t="shared" si="1"/>
        <v>85.48889195822399</v>
      </c>
      <c r="I13" s="110">
        <f t="shared" si="2"/>
        <v>-9181.48</v>
      </c>
      <c r="J13" s="110">
        <f t="shared" si="3"/>
        <v>25.9558064516129</v>
      </c>
      <c r="K13" s="112">
        <f>F13-2303.67</f>
        <v>914.8499999999999</v>
      </c>
      <c r="L13" s="112">
        <f>F13/2303.67*100</f>
        <v>139.71271926968706</v>
      </c>
      <c r="M13" s="111">
        <f>E13-квітень!E13</f>
        <v>1100</v>
      </c>
      <c r="N13" s="179">
        <f>F13-квітень!F13</f>
        <v>7.039999999999964</v>
      </c>
      <c r="O13" s="112">
        <f t="shared" si="4"/>
        <v>-1092.96</v>
      </c>
      <c r="P13" s="42">
        <f t="shared" si="5"/>
        <v>0.6399999999999967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1426.36</v>
      </c>
      <c r="G14" s="109">
        <f t="shared" si="0"/>
        <v>-1079.68</v>
      </c>
      <c r="H14" s="32">
        <f t="shared" si="1"/>
        <v>56.91688879666725</v>
      </c>
      <c r="I14" s="110">
        <f t="shared" si="2"/>
        <v>-4933.64</v>
      </c>
      <c r="J14" s="110">
        <f t="shared" si="3"/>
        <v>22.42704402515723</v>
      </c>
      <c r="K14" s="112">
        <f>F14-3644.66</f>
        <v>-2218.3</v>
      </c>
      <c r="L14" s="112">
        <f>F14/3644.66*100</f>
        <v>39.13561210099159</v>
      </c>
      <c r="M14" s="111">
        <f>E14-квітень!E14</f>
        <v>630</v>
      </c>
      <c r="N14" s="179">
        <f>F14-квітень!F14</f>
        <v>0</v>
      </c>
      <c r="O14" s="112">
        <f t="shared" si="4"/>
        <v>-630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189.65</v>
      </c>
      <c r="G15" s="190">
        <f t="shared" si="0"/>
        <v>-45.349999999999994</v>
      </c>
      <c r="H15" s="197">
        <f>F15/E15*100</f>
        <v>80.70212765957447</v>
      </c>
      <c r="I15" s="198">
        <f t="shared" si="2"/>
        <v>-310.35</v>
      </c>
      <c r="J15" s="198">
        <f t="shared" si="3"/>
        <v>37.93</v>
      </c>
      <c r="K15" s="201">
        <f>F15-(-880.74)</f>
        <v>1070.39</v>
      </c>
      <c r="L15" s="201">
        <f>F15/(-880.74)*100</f>
        <v>-21.53302904375866</v>
      </c>
      <c r="M15" s="197">
        <f>E15-квітень!E15</f>
        <v>115</v>
      </c>
      <c r="N15" s="200">
        <f>F15-квітень!F15</f>
        <v>3.8100000000000023</v>
      </c>
      <c r="O15" s="201">
        <f t="shared" si="4"/>
        <v>-111.19</v>
      </c>
      <c r="P15" s="198"/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197">
        <f>E17-квітень!E17</f>
        <v>0</v>
      </c>
      <c r="N17" s="200">
        <f>F17-квітень!F17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26184.49</v>
      </c>
      <c r="G19" s="190">
        <f t="shared" si="0"/>
        <v>-11875.91</v>
      </c>
      <c r="H19" s="197">
        <f t="shared" si="1"/>
        <v>68.79720129058023</v>
      </c>
      <c r="I19" s="198">
        <f t="shared" si="2"/>
        <v>-83715.51</v>
      </c>
      <c r="J19" s="198">
        <f t="shared" si="3"/>
        <v>23.82574158325751</v>
      </c>
      <c r="K19" s="209">
        <f>F19-23140.48</f>
        <v>3044.010000000002</v>
      </c>
      <c r="L19" s="209">
        <f>F19/23140.48*100</f>
        <v>113.15448080592971</v>
      </c>
      <c r="M19" s="197">
        <f>E19-квітень!E19</f>
        <v>9500</v>
      </c>
      <c r="N19" s="200">
        <f>F19-квітень!F19</f>
        <v>165.86000000000058</v>
      </c>
      <c r="O19" s="201">
        <f t="shared" si="4"/>
        <v>-9334.14</v>
      </c>
      <c r="P19" s="198">
        <f t="shared" si="5"/>
        <v>1.7458947368421116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119728.81</v>
      </c>
      <c r="F20" s="210">
        <f>F21+F25+F27+F26</f>
        <v>118169.72</v>
      </c>
      <c r="G20" s="190">
        <f t="shared" si="0"/>
        <v>-1559.0899999999965</v>
      </c>
      <c r="H20" s="197">
        <f t="shared" si="1"/>
        <v>98.69781550488976</v>
      </c>
      <c r="I20" s="198">
        <f t="shared" si="2"/>
        <v>-152770.28</v>
      </c>
      <c r="J20" s="198">
        <f t="shared" si="3"/>
        <v>43.61471912600576</v>
      </c>
      <c r="K20" s="198">
        <f>F20-88353.34</f>
        <v>29816.380000000005</v>
      </c>
      <c r="L20" s="198">
        <f>F20/88353.34*100</f>
        <v>133.74674913251724</v>
      </c>
      <c r="M20" s="197">
        <f>M21+M25+M26+M27</f>
        <v>22527.800000000003</v>
      </c>
      <c r="N20" s="200">
        <f>F20-квітень!F20</f>
        <v>8387.210000000006</v>
      </c>
      <c r="O20" s="201">
        <f t="shared" si="4"/>
        <v>-14140.589999999997</v>
      </c>
      <c r="P20" s="198">
        <f t="shared" si="5"/>
        <v>37.230488551922534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63596.26</v>
      </c>
      <c r="F21" s="211">
        <f>F22+F23+F24</f>
        <v>59397.87</v>
      </c>
      <c r="G21" s="190">
        <f t="shared" si="0"/>
        <v>-4198.389999999999</v>
      </c>
      <c r="H21" s="197">
        <f t="shared" si="1"/>
        <v>93.39836965255505</v>
      </c>
      <c r="I21" s="198">
        <f t="shared" si="2"/>
        <v>-102002.13</v>
      </c>
      <c r="J21" s="198">
        <f t="shared" si="3"/>
        <v>36.801654275092936</v>
      </c>
      <c r="K21" s="198">
        <f>F21-45791.35</f>
        <v>13606.520000000004</v>
      </c>
      <c r="L21" s="198">
        <f>F21/45791.35*100</f>
        <v>129.71417090782433</v>
      </c>
      <c r="M21" s="197">
        <f>M22+M23+M24</f>
        <v>11910</v>
      </c>
      <c r="N21" s="200">
        <f>F21-квітень!F21</f>
        <v>1361.6200000000026</v>
      </c>
      <c r="O21" s="201">
        <f t="shared" si="4"/>
        <v>-10548.379999999997</v>
      </c>
      <c r="P21" s="198">
        <f t="shared" si="5"/>
        <v>11.432577665827058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6871.6</v>
      </c>
      <c r="F22" s="213">
        <v>8450.33</v>
      </c>
      <c r="G22" s="212">
        <f>F22-E22</f>
        <v>1578.7299999999996</v>
      </c>
      <c r="H22" s="214">
        <f t="shared" si="1"/>
        <v>122.97470749170498</v>
      </c>
      <c r="I22" s="215">
        <f t="shared" si="2"/>
        <v>-10049.67</v>
      </c>
      <c r="J22" s="215">
        <f t="shared" si="3"/>
        <v>45.677459459459456</v>
      </c>
      <c r="K22" s="216">
        <f>F22-4439.46</f>
        <v>4010.87</v>
      </c>
      <c r="L22" s="216">
        <f>F22/4439.46*100</f>
        <v>190.34589792452235</v>
      </c>
      <c r="M22" s="214">
        <f>E22-квітень!E22</f>
        <v>240</v>
      </c>
      <c r="N22" s="217">
        <f>F22-квітень!F22</f>
        <v>37.1200000000008</v>
      </c>
      <c r="O22" s="218">
        <f t="shared" si="4"/>
        <v>-202.8799999999992</v>
      </c>
      <c r="P22" s="215">
        <f t="shared" si="5"/>
        <v>15.466666666667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393</v>
      </c>
      <c r="G23" s="212">
        <f>F23-E23</f>
        <v>116.16000000000003</v>
      </c>
      <c r="H23" s="214">
        <f t="shared" si="1"/>
        <v>141.95925444299957</v>
      </c>
      <c r="I23" s="215">
        <f t="shared" si="2"/>
        <v>-2407</v>
      </c>
      <c r="J23" s="215">
        <f t="shared" si="3"/>
        <v>14.035714285714285</v>
      </c>
      <c r="K23" s="215">
        <f>F23-173.09</f>
        <v>219.91</v>
      </c>
      <c r="L23" s="215">
        <f>F23/173.09*100</f>
        <v>227.04951181466288</v>
      </c>
      <c r="M23" s="214">
        <f>E23-квітень!E23</f>
        <v>0</v>
      </c>
      <c r="N23" s="217">
        <f>F23-квітень!F23</f>
        <v>6.420000000000016</v>
      </c>
      <c r="O23" s="218">
        <f t="shared" si="4"/>
        <v>6.420000000000016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56447.82</v>
      </c>
      <c r="F24" s="213">
        <v>50554.54</v>
      </c>
      <c r="G24" s="212">
        <f>F24-E24</f>
        <v>-5893.279999999999</v>
      </c>
      <c r="H24" s="214">
        <f t="shared" si="1"/>
        <v>89.55977396469873</v>
      </c>
      <c r="I24" s="215">
        <f t="shared" si="2"/>
        <v>-89545.45999999999</v>
      </c>
      <c r="J24" s="215">
        <f t="shared" si="3"/>
        <v>36.08461099214846</v>
      </c>
      <c r="K24" s="216">
        <f>F24-41178.8</f>
        <v>9375.739999999998</v>
      </c>
      <c r="L24" s="216">
        <f>F24/41178.8*100</f>
        <v>122.76836624670946</v>
      </c>
      <c r="M24" s="214">
        <f>E24-квітень!E24</f>
        <v>11670</v>
      </c>
      <c r="N24" s="217">
        <f>F24-квітень!F24</f>
        <v>1318.0800000000017</v>
      </c>
      <c r="O24" s="218">
        <f t="shared" si="4"/>
        <v>-10351.919999999998</v>
      </c>
      <c r="P24" s="215">
        <f t="shared" si="5"/>
        <v>11.294601542416467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30.51</v>
      </c>
      <c r="F25" s="196">
        <v>35.53</v>
      </c>
      <c r="G25" s="190">
        <f>F25-E25</f>
        <v>5.02</v>
      </c>
      <c r="H25" s="197">
        <f t="shared" si="1"/>
        <v>116.45362176335627</v>
      </c>
      <c r="I25" s="198">
        <f t="shared" si="2"/>
        <v>-41.47</v>
      </c>
      <c r="J25" s="198">
        <f t="shared" si="3"/>
        <v>46.142857142857146</v>
      </c>
      <c r="K25" s="198">
        <f>F25-33.2</f>
        <v>2.3299999999999983</v>
      </c>
      <c r="L25" s="198">
        <f>F25/33.2*100</f>
        <v>107.01807228915663</v>
      </c>
      <c r="M25" s="197">
        <f>E25-квітень!E25</f>
        <v>11</v>
      </c>
      <c r="N25" s="200">
        <f>F25-квітень!F25</f>
        <v>2.8200000000000003</v>
      </c>
      <c r="O25" s="201">
        <f t="shared" si="4"/>
        <v>-8.18</v>
      </c>
      <c r="P25" s="198">
        <f t="shared" si="5"/>
        <v>25.63636363636364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-107.43</v>
      </c>
      <c r="G26" s="190">
        <f aca="true" t="shared" si="6" ref="G26:G32">F26-E26</f>
        <v>-107.43</v>
      </c>
      <c r="H26" s="197"/>
      <c r="I26" s="198">
        <f t="shared" si="2"/>
        <v>-107.43</v>
      </c>
      <c r="J26" s="198"/>
      <c r="K26" s="198">
        <f>F26-(-205.49)</f>
        <v>98.06</v>
      </c>
      <c r="L26" s="198">
        <f>F26/(-205.49)*100</f>
        <v>52.27991629763006</v>
      </c>
      <c r="M26" s="197">
        <f>E26-квітень!E26</f>
        <v>0</v>
      </c>
      <c r="N26" s="200">
        <f>F26-квітень!F26</f>
        <v>-0.4200000000000017</v>
      </c>
      <c r="O26" s="201">
        <f t="shared" si="4"/>
        <v>-0.4200000000000017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202">
        <v>109463</v>
      </c>
      <c r="E27" s="202">
        <v>56102.04</v>
      </c>
      <c r="F27" s="203">
        <v>58843.75</v>
      </c>
      <c r="G27" s="202">
        <f t="shared" si="6"/>
        <v>2741.709999999999</v>
      </c>
      <c r="H27" s="204">
        <f t="shared" si="1"/>
        <v>104.88700589140787</v>
      </c>
      <c r="I27" s="205">
        <f t="shared" si="2"/>
        <v>-50619.25</v>
      </c>
      <c r="J27" s="205">
        <f t="shared" si="3"/>
        <v>53.756748855777744</v>
      </c>
      <c r="K27" s="219">
        <f>F27-42734.29</f>
        <v>16109.46</v>
      </c>
      <c r="L27" s="219">
        <f>F27/42734.29*100</f>
        <v>137.6968003914421</v>
      </c>
      <c r="M27" s="197">
        <f>E27-квітень!E27</f>
        <v>10606.800000000003</v>
      </c>
      <c r="N27" s="200">
        <f>F27-квітень!F27</f>
        <v>7023.190000000002</v>
      </c>
      <c r="O27" s="207">
        <f t="shared" si="4"/>
        <v>-3583.6100000000006</v>
      </c>
      <c r="P27" s="205">
        <f>N27/M27*100</f>
        <v>66.21403250744805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F28-(-1.2)</f>
        <v>1.38</v>
      </c>
      <c r="L28" s="142"/>
      <c r="M28" s="111">
        <f>E28-квітень!E28</f>
        <v>0</v>
      </c>
      <c r="N28" s="179">
        <f>F28-квітень!F28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14755.97</v>
      </c>
      <c r="F29" s="171">
        <v>14595.67</v>
      </c>
      <c r="G29" s="109">
        <f t="shared" si="6"/>
        <v>-160.29999999999927</v>
      </c>
      <c r="H29" s="111">
        <f t="shared" si="1"/>
        <v>98.91366003048259</v>
      </c>
      <c r="I29" s="110">
        <f t="shared" si="2"/>
        <v>-13004.33</v>
      </c>
      <c r="J29" s="110">
        <f t="shared" si="3"/>
        <v>52.88286231884059</v>
      </c>
      <c r="K29" s="142">
        <f>F29-10825.45</f>
        <v>3770.2199999999993</v>
      </c>
      <c r="L29" s="142">
        <f>F29/10825.45*100</f>
        <v>134.8273743816654</v>
      </c>
      <c r="M29" s="111">
        <f>E29-квітень!E29</f>
        <v>3500</v>
      </c>
      <c r="N29" s="179">
        <f>F29-квітень!F29</f>
        <v>2110.91</v>
      </c>
      <c r="O29" s="112">
        <f t="shared" si="4"/>
        <v>-1389.0900000000001</v>
      </c>
      <c r="P29" s="110">
        <f>N29/M29*100</f>
        <v>60.31171428571428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41336.08</v>
      </c>
      <c r="F30" s="171">
        <v>43087.99</v>
      </c>
      <c r="G30" s="109">
        <f t="shared" si="6"/>
        <v>1751.9099999999962</v>
      </c>
      <c r="H30" s="111">
        <f t="shared" si="1"/>
        <v>104.23821029957364</v>
      </c>
      <c r="I30" s="110">
        <f t="shared" si="2"/>
        <v>-38724.01</v>
      </c>
      <c r="J30" s="110">
        <f t="shared" si="3"/>
        <v>52.667078179240214</v>
      </c>
      <c r="K30" s="142">
        <f>F30-31903.08</f>
        <v>11184.909999999996</v>
      </c>
      <c r="L30" s="142">
        <f>F30/31903.08*100</f>
        <v>135.0590287834278</v>
      </c>
      <c r="M30" s="111">
        <f>E30-квітень!E30</f>
        <v>7100</v>
      </c>
      <c r="N30" s="179">
        <f>F30-квітень!F30</f>
        <v>3766.3799999999974</v>
      </c>
      <c r="O30" s="112">
        <f t="shared" si="4"/>
        <v>-3333.6200000000026</v>
      </c>
      <c r="P30" s="110">
        <f>N30/M30*100</f>
        <v>53.047605633802775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9.99</v>
      </c>
      <c r="F31" s="171">
        <v>14.01</v>
      </c>
      <c r="G31" s="109">
        <f t="shared" si="6"/>
        <v>4.02</v>
      </c>
      <c r="H31" s="111">
        <f t="shared" si="1"/>
        <v>140.24024024024024</v>
      </c>
      <c r="I31" s="110">
        <f t="shared" si="2"/>
        <v>-36.99</v>
      </c>
      <c r="J31" s="110">
        <f t="shared" si="3"/>
        <v>27.47058823529412</v>
      </c>
      <c r="K31" s="142">
        <f>F31-6.96</f>
        <v>7.05</v>
      </c>
      <c r="L31" s="142">
        <f>F31/6.96*100</f>
        <v>201.29310344827584</v>
      </c>
      <c r="M31" s="111">
        <f>E31-квітень!E31</f>
        <v>6.800000000000001</v>
      </c>
      <c r="N31" s="179">
        <f>F31-квітень!F31</f>
        <v>0</v>
      </c>
      <c r="O31" s="112">
        <f t="shared" si="4"/>
        <v>-6.800000000000001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F32-4020.62</f>
        <v>-4020.62</v>
      </c>
      <c r="L32" s="132">
        <f>F32/2014.1*100</f>
        <v>0</v>
      </c>
      <c r="M32" s="32">
        <v>0</v>
      </c>
      <c r="N32" s="178">
        <f>F32-квітень!F32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17807.03</v>
      </c>
      <c r="F33" s="15">
        <f>F34+F35+F36+F37+F38+F40+F42+F43+F44+F45+F46+F51+F52+F56+F39</f>
        <v>21532.739999999998</v>
      </c>
      <c r="G33" s="191">
        <f>G34+G35+G36+G37+G38+G40+G42+G43+G44+G45+G46+G51+G52+G56</f>
        <v>3718.9099999999994</v>
      </c>
      <c r="H33" s="192">
        <f>F33/E33*100</f>
        <v>120.92269176836339</v>
      </c>
      <c r="I33" s="193">
        <f>F33-D33</f>
        <v>-21287.260000000002</v>
      </c>
      <c r="J33" s="193">
        <f>F33/D33*100</f>
        <v>50.286641756188686</v>
      </c>
      <c r="K33" s="191">
        <f>F33-12995.52</f>
        <v>8537.219999999998</v>
      </c>
      <c r="L33" s="191">
        <f>F33/12995.52*100</f>
        <v>165.69356208908914</v>
      </c>
      <c r="M33" s="191">
        <f>M34+M35+M36+M37+M38+M40+M42+M43+M44+M45+M46+M51+M52+M56</f>
        <v>3561</v>
      </c>
      <c r="N33" s="191">
        <f>N34+N35+N36+N37+N38+N40+N42+N43+N44+N45+N46+N51+N52+N56+N39</f>
        <v>4772.096</v>
      </c>
      <c r="O33" s="191">
        <f>O34+O35+O36+O37+O38+O40+O42+O43+O44+O45+O46+O51+O52+O56</f>
        <v>1211.0959999999998</v>
      </c>
      <c r="P33" s="191">
        <f>N33/M33*100</f>
        <v>134.00999719180004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64</v>
      </c>
      <c r="F34" s="170">
        <v>94.76</v>
      </c>
      <c r="G34" s="202">
        <f>F34-E34</f>
        <v>30.760000000000005</v>
      </c>
      <c r="H34" s="204">
        <f aca="true" t="shared" si="7" ref="H34:H57">F34/E34*100</f>
        <v>148.0625</v>
      </c>
      <c r="I34" s="205">
        <f>F34-D34</f>
        <v>-5.239999999999995</v>
      </c>
      <c r="J34" s="205">
        <f>F34/D34*100</f>
        <v>94.76</v>
      </c>
      <c r="K34" s="205">
        <f>F34-100.4</f>
        <v>-5.640000000000001</v>
      </c>
      <c r="L34" s="205">
        <f>F34/100.4*100</f>
        <v>94.38247011952191</v>
      </c>
      <c r="M34" s="204">
        <f>E34-квітень!E34</f>
        <v>10</v>
      </c>
      <c r="N34" s="208">
        <f>F34-квітень!F34</f>
        <v>-0.98599999999999</v>
      </c>
      <c r="O34" s="207">
        <f>N34-M34</f>
        <v>-10.98599999999999</v>
      </c>
      <c r="P34" s="205">
        <f aca="true" t="shared" si="8" ref="P34:P57">N34/M34*100</f>
        <v>-9.8599999999999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5537</v>
      </c>
      <c r="F35" s="170">
        <v>10098.73</v>
      </c>
      <c r="G35" s="202">
        <f aca="true" t="shared" si="9" ref="G35:G58">F35-E35</f>
        <v>4561.73</v>
      </c>
      <c r="H35" s="204">
        <f t="shared" si="7"/>
        <v>182.38631027632292</v>
      </c>
      <c r="I35" s="205">
        <f aca="true" t="shared" si="10" ref="I35:I58">F35-D35</f>
        <v>98.72999999999956</v>
      </c>
      <c r="J35" s="205">
        <f>F35/D35*100</f>
        <v>100.9873</v>
      </c>
      <c r="K35" s="205">
        <f>F35-0</f>
        <v>10098.73</v>
      </c>
      <c r="L35" s="205"/>
      <c r="M35" s="204">
        <f>E35-квітень!E35</f>
        <v>1000</v>
      </c>
      <c r="N35" s="208">
        <f>F35-квітень!F35</f>
        <v>3345.3199999999997</v>
      </c>
      <c r="O35" s="207">
        <f aca="true" t="shared" si="11" ref="O35:O58">N35-M35</f>
        <v>2345.3199999999997</v>
      </c>
      <c r="P35" s="205">
        <f t="shared" si="8"/>
        <v>334.532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91.44</v>
      </c>
      <c r="F36" s="170">
        <v>27.51</v>
      </c>
      <c r="G36" s="202">
        <f t="shared" si="9"/>
        <v>-63.92999999999999</v>
      </c>
      <c r="H36" s="204">
        <f t="shared" si="7"/>
        <v>30.085301837270347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F36-112.8</f>
        <v>-85.28999999999999</v>
      </c>
      <c r="L36" s="205">
        <f>F36/112.8*100</f>
        <v>24.388297872340427</v>
      </c>
      <c r="M36" s="204">
        <f>E36-квітень!E36</f>
        <v>20</v>
      </c>
      <c r="N36" s="208">
        <f>F36-квітень!F36</f>
        <v>0</v>
      </c>
      <c r="O36" s="207">
        <f t="shared" si="11"/>
        <v>-20</v>
      </c>
      <c r="P36" s="205">
        <f t="shared" si="8"/>
        <v>0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E37-квітень!E37</f>
        <v>0</v>
      </c>
      <c r="N37" s="208">
        <f>F37-квітень!F37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50</v>
      </c>
      <c r="F38" s="170">
        <v>42.71</v>
      </c>
      <c r="G38" s="202">
        <f t="shared" si="9"/>
        <v>-7.289999999999999</v>
      </c>
      <c r="H38" s="204">
        <f t="shared" si="7"/>
        <v>85.42</v>
      </c>
      <c r="I38" s="205">
        <f t="shared" si="10"/>
        <v>-107.28999999999999</v>
      </c>
      <c r="J38" s="205">
        <f t="shared" si="12"/>
        <v>28.473333333333333</v>
      </c>
      <c r="K38" s="205">
        <f>F38-65.18</f>
        <v>-22.470000000000006</v>
      </c>
      <c r="L38" s="205">
        <f>F38/65.18*100</f>
        <v>65.52623504142375</v>
      </c>
      <c r="M38" s="204">
        <f>E38-квітень!E38</f>
        <v>10</v>
      </c>
      <c r="N38" s="208">
        <f>F38-квітень!F38</f>
        <v>8.509999999999998</v>
      </c>
      <c r="O38" s="207">
        <f t="shared" si="11"/>
        <v>-1.490000000000002</v>
      </c>
      <c r="P38" s="205">
        <f t="shared" si="8"/>
        <v>85.09999999999998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>
        <f>F39-2</f>
        <v>4.8</v>
      </c>
      <c r="L39" s="205">
        <f>F39/2*100</f>
        <v>340</v>
      </c>
      <c r="M39" s="204">
        <f>E39-квітень!E39</f>
        <v>0</v>
      </c>
      <c r="N39" s="208">
        <f>F39-квітень!F39</f>
        <v>0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32</v>
      </c>
      <c r="F40" s="170">
        <v>21.08</v>
      </c>
      <c r="G40" s="202">
        <f t="shared" si="9"/>
        <v>-10.920000000000002</v>
      </c>
      <c r="H40" s="204">
        <f t="shared" si="7"/>
        <v>65.875</v>
      </c>
      <c r="I40" s="205">
        <f t="shared" si="10"/>
        <v>-68.92</v>
      </c>
      <c r="J40" s="205">
        <f t="shared" si="12"/>
        <v>23.42222222222222</v>
      </c>
      <c r="K40" s="205">
        <f>F40-0</f>
        <v>21.08</v>
      </c>
      <c r="L40" s="205"/>
      <c r="M40" s="204">
        <f>E40-квітень!E40</f>
        <v>8</v>
      </c>
      <c r="N40" s="208">
        <f>F40-квітень!F40</f>
        <v>21.08</v>
      </c>
      <c r="O40" s="207">
        <f t="shared" si="11"/>
        <v>13.079999999999998</v>
      </c>
      <c r="P40" s="205">
        <f t="shared" si="8"/>
        <v>263.5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E41-квітень!E41</f>
        <v>0</v>
      </c>
      <c r="N41" s="208">
        <f>F41-квітень!F41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3739.02</v>
      </c>
      <c r="F42" s="170">
        <v>3506.86</v>
      </c>
      <c r="G42" s="202">
        <f t="shared" si="9"/>
        <v>-232.15999999999985</v>
      </c>
      <c r="H42" s="204">
        <f t="shared" si="7"/>
        <v>93.79088638199315</v>
      </c>
      <c r="I42" s="205">
        <f t="shared" si="10"/>
        <v>-6393.139999999999</v>
      </c>
      <c r="J42" s="205">
        <f t="shared" si="12"/>
        <v>35.422828282828284</v>
      </c>
      <c r="K42" s="205">
        <f>F42-4115.54</f>
        <v>-608.6799999999998</v>
      </c>
      <c r="L42" s="205">
        <f>F42/4115.54*100</f>
        <v>85.21020327830612</v>
      </c>
      <c r="M42" s="204">
        <f>E42-квітень!E42</f>
        <v>800</v>
      </c>
      <c r="N42" s="208">
        <f>F42-квітень!F42</f>
        <v>305.4500000000003</v>
      </c>
      <c r="O42" s="207">
        <f t="shared" si="11"/>
        <v>-494.5499999999997</v>
      </c>
      <c r="P42" s="205">
        <f t="shared" si="8"/>
        <v>38.181250000000034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520</v>
      </c>
      <c r="F43" s="170">
        <v>12.62</v>
      </c>
      <c r="G43" s="202">
        <f t="shared" si="9"/>
        <v>-507.38</v>
      </c>
      <c r="H43" s="204">
        <f t="shared" si="7"/>
        <v>2.4269230769230767</v>
      </c>
      <c r="I43" s="205">
        <f t="shared" si="10"/>
        <v>-1487.38</v>
      </c>
      <c r="J43" s="205">
        <f t="shared" si="12"/>
        <v>0.8413333333333334</v>
      </c>
      <c r="K43" s="205">
        <f>F43-0</f>
        <v>12.62</v>
      </c>
      <c r="L43" s="205"/>
      <c r="M43" s="204">
        <f>E43-квітень!E43</f>
        <v>130</v>
      </c>
      <c r="N43" s="208">
        <f>F43-квітень!F43</f>
        <v>11.25</v>
      </c>
      <c r="O43" s="207">
        <f t="shared" si="11"/>
        <v>-118.75</v>
      </c>
      <c r="P43" s="205">
        <f t="shared" si="8"/>
        <v>8.653846153846153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16</v>
      </c>
      <c r="F44" s="170">
        <v>0</v>
      </c>
      <c r="G44" s="202">
        <f t="shared" si="9"/>
        <v>-16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E44-квітень!E44</f>
        <v>4</v>
      </c>
      <c r="N44" s="208">
        <f>F44-квітень!F44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3316.23</v>
      </c>
      <c r="F45" s="170">
        <v>3304.24</v>
      </c>
      <c r="G45" s="202">
        <f t="shared" si="9"/>
        <v>-11.990000000000236</v>
      </c>
      <c r="H45" s="204">
        <f t="shared" si="7"/>
        <v>99.63844486057963</v>
      </c>
      <c r="I45" s="205">
        <f t="shared" si="10"/>
        <v>-5195.76</v>
      </c>
      <c r="J45" s="205">
        <f t="shared" si="12"/>
        <v>38.87341176470588</v>
      </c>
      <c r="K45" s="205">
        <f>F45-3403.14</f>
        <v>-98.90000000000009</v>
      </c>
      <c r="L45" s="205">
        <f>F45/3403.14*100</f>
        <v>97.09386037600568</v>
      </c>
      <c r="M45" s="204">
        <f>E45-квітень!E45</f>
        <v>650</v>
      </c>
      <c r="N45" s="208">
        <f>F45-квітень!F45</f>
        <v>672.8919999999998</v>
      </c>
      <c r="O45" s="207">
        <f t="shared" si="11"/>
        <v>22.891999999999825</v>
      </c>
      <c r="P45" s="205">
        <f t="shared" si="8"/>
        <v>103.52184615384613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2553.19</v>
      </c>
      <c r="F46" s="170">
        <v>2242.45</v>
      </c>
      <c r="G46" s="202">
        <f t="shared" si="9"/>
        <v>-310.74000000000024</v>
      </c>
      <c r="H46" s="204">
        <f t="shared" si="7"/>
        <v>87.82934290045002</v>
      </c>
      <c r="I46" s="205">
        <f t="shared" si="10"/>
        <v>-5057.55</v>
      </c>
      <c r="J46" s="205">
        <f t="shared" si="12"/>
        <v>30.718493150684928</v>
      </c>
      <c r="K46" s="205">
        <f>F46-3368.6</f>
        <v>-1126.15</v>
      </c>
      <c r="L46" s="205">
        <f>F46/3368.6*100</f>
        <v>66.56919788636229</v>
      </c>
      <c r="M46" s="204">
        <f>E46-квітень!E46</f>
        <v>539</v>
      </c>
      <c r="N46" s="208">
        <f>F46-квітень!F46</f>
        <v>243.7099999999998</v>
      </c>
      <c r="O46" s="207">
        <f t="shared" si="11"/>
        <v>-295.2900000000002</v>
      </c>
      <c r="P46" s="205">
        <f t="shared" si="8"/>
        <v>45.215213358070464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366.99</v>
      </c>
      <c r="F47" s="171">
        <v>325.56</v>
      </c>
      <c r="G47" s="36">
        <f t="shared" si="9"/>
        <v>-41.43000000000001</v>
      </c>
      <c r="H47" s="32">
        <f t="shared" si="7"/>
        <v>88.7108640562413</v>
      </c>
      <c r="I47" s="110">
        <f t="shared" si="10"/>
        <v>-774.44</v>
      </c>
      <c r="J47" s="110">
        <f t="shared" si="12"/>
        <v>29.596363636363638</v>
      </c>
      <c r="K47" s="110">
        <f>F47-397.7</f>
        <v>-72.13999999999999</v>
      </c>
      <c r="L47" s="110">
        <f>F47/397.7*100</f>
        <v>81.86069901936133</v>
      </c>
      <c r="M47" s="111">
        <f>E47-квітень!E47</f>
        <v>78</v>
      </c>
      <c r="N47" s="179">
        <f>F47-квітень!F47</f>
        <v>90.14000000000001</v>
      </c>
      <c r="O47" s="112">
        <f t="shared" si="11"/>
        <v>12.140000000000015</v>
      </c>
      <c r="P47" s="132">
        <f t="shared" si="8"/>
        <v>115.56410256410258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4.04</v>
      </c>
      <c r="F48" s="171">
        <v>0.22</v>
      </c>
      <c r="G48" s="36">
        <f t="shared" si="9"/>
        <v>-3.82</v>
      </c>
      <c r="H48" s="32">
        <f t="shared" si="7"/>
        <v>5.445544554455446</v>
      </c>
      <c r="I48" s="110">
        <f t="shared" si="10"/>
        <v>-44.78</v>
      </c>
      <c r="J48" s="110">
        <f t="shared" si="12"/>
        <v>0.4888888888888889</v>
      </c>
      <c r="K48" s="110">
        <f>F48-44.74</f>
        <v>-44.52</v>
      </c>
      <c r="L48" s="110">
        <f>F48/44.74*100</f>
        <v>0.4917299955297273</v>
      </c>
      <c r="M48" s="111">
        <f>E48-квітень!E48</f>
        <v>1</v>
      </c>
      <c r="N48" s="179">
        <f>F48-квітень!F48</f>
        <v>0.07</v>
      </c>
      <c r="O48" s="112">
        <f t="shared" si="11"/>
        <v>-0.9299999999999999</v>
      </c>
      <c r="P48" s="132">
        <f t="shared" si="8"/>
        <v>7.000000000000001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E49-квітень!E49</f>
        <v>0</v>
      </c>
      <c r="N49" s="179">
        <f>F49-квітень!F49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2182.17</v>
      </c>
      <c r="F50" s="171">
        <v>1916.67</v>
      </c>
      <c r="G50" s="36">
        <f t="shared" si="9"/>
        <v>-265.5</v>
      </c>
      <c r="H50" s="32">
        <f t="shared" si="7"/>
        <v>87.83321189458199</v>
      </c>
      <c r="I50" s="110">
        <f t="shared" si="10"/>
        <v>-4237.33</v>
      </c>
      <c r="J50" s="110">
        <f t="shared" si="12"/>
        <v>31.145108872278193</v>
      </c>
      <c r="K50" s="110">
        <f>F50-2925.43</f>
        <v>-1008.7599999999998</v>
      </c>
      <c r="L50" s="110">
        <f>F50/2925.43*100</f>
        <v>65.51754784766685</v>
      </c>
      <c r="M50" s="111">
        <f>E50-квітень!E50</f>
        <v>460</v>
      </c>
      <c r="N50" s="179">
        <f>F50-квітень!F50</f>
        <v>153.51</v>
      </c>
      <c r="O50" s="112">
        <f t="shared" si="11"/>
        <v>-306.49</v>
      </c>
      <c r="P50" s="132">
        <f t="shared" si="8"/>
        <v>33.37173913043478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E51-квітень!E51</f>
        <v>0</v>
      </c>
      <c r="N51" s="208">
        <f>F51-квітень!F51</f>
        <v>0</v>
      </c>
      <c r="O51" s="207">
        <f t="shared" si="11"/>
        <v>0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1867.98</v>
      </c>
      <c r="F52" s="170">
        <v>2139.33</v>
      </c>
      <c r="G52" s="202">
        <f t="shared" si="9"/>
        <v>271.3499999999999</v>
      </c>
      <c r="H52" s="204">
        <f t="shared" si="7"/>
        <v>114.52638679214982</v>
      </c>
      <c r="I52" s="205">
        <f t="shared" si="10"/>
        <v>-2660.67</v>
      </c>
      <c r="J52" s="205">
        <f t="shared" si="12"/>
        <v>44.569375</v>
      </c>
      <c r="K52" s="205">
        <f>F52-1827.87</f>
        <v>311.46000000000004</v>
      </c>
      <c r="L52" s="205">
        <f>F52/1827.87*100</f>
        <v>117.03950499762018</v>
      </c>
      <c r="M52" s="204">
        <f>E52-квітень!E52</f>
        <v>390</v>
      </c>
      <c r="N52" s="208">
        <f>F52-квітень!F52</f>
        <v>164.8699999999999</v>
      </c>
      <c r="O52" s="207">
        <f t="shared" si="11"/>
        <v>-225.1300000000001</v>
      </c>
      <c r="P52" s="205">
        <f t="shared" si="8"/>
        <v>42.27435897435895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E53-квітень!E53</f>
        <v>0</v>
      </c>
      <c r="N53" s="208">
        <f>F53-квітень!F53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443.8</v>
      </c>
      <c r="G54" s="202"/>
      <c r="H54" s="204"/>
      <c r="I54" s="205"/>
      <c r="J54" s="205"/>
      <c r="K54" s="206">
        <f>F54-430.9</f>
        <v>12.900000000000034</v>
      </c>
      <c r="L54" s="206">
        <f>F54/430.9*100</f>
        <v>102.99373404502205</v>
      </c>
      <c r="M54" s="236"/>
      <c r="N54" s="220">
        <f>F54-квітень!F54</f>
        <v>56.44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E55-квітень!E55</f>
        <v>0</v>
      </c>
      <c r="N55" s="208">
        <f>F55-квітень!F55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E56-квітень!E56</f>
        <v>0</v>
      </c>
      <c r="N56" s="208">
        <f>F56-квітень!F56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9.9</v>
      </c>
      <c r="F57" s="170">
        <v>13.52</v>
      </c>
      <c r="G57" s="202">
        <f t="shared" si="9"/>
        <v>3.619999999999999</v>
      </c>
      <c r="H57" s="204">
        <f t="shared" si="7"/>
        <v>136.56565656565655</v>
      </c>
      <c r="I57" s="205">
        <f t="shared" si="10"/>
        <v>-16.48</v>
      </c>
      <c r="J57" s="205">
        <f t="shared" si="12"/>
        <v>45.06666666666666</v>
      </c>
      <c r="K57" s="205">
        <f>F57-6.52</f>
        <v>7</v>
      </c>
      <c r="L57" s="205">
        <f>F57/6.52*100</f>
        <v>207.36196319018404</v>
      </c>
      <c r="M57" s="204">
        <f>E57-квітень!E57</f>
        <v>2.3000000000000007</v>
      </c>
      <c r="N57" s="208">
        <f>F57-квітень!F57</f>
        <v>0.009999999999999787</v>
      </c>
      <c r="O57" s="207">
        <f t="shared" si="11"/>
        <v>-2.290000000000001</v>
      </c>
      <c r="P57" s="205">
        <f t="shared" si="8"/>
        <v>0.43478260869564284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0.37</v>
      </c>
      <c r="G58" s="202">
        <f t="shared" si="9"/>
        <v>0.37</v>
      </c>
      <c r="H58" s="204"/>
      <c r="I58" s="205">
        <f t="shared" si="10"/>
        <v>-0.22999999999999998</v>
      </c>
      <c r="J58" s="205"/>
      <c r="K58" s="205">
        <f>F58-0.02</f>
        <v>0.35</v>
      </c>
      <c r="L58" s="205"/>
      <c r="M58" s="204">
        <f>E58-квітень!E58</f>
        <v>0</v>
      </c>
      <c r="N58" s="208">
        <f>F58-квітень!F58</f>
        <v>0.010000000000000009</v>
      </c>
      <c r="O58" s="207">
        <f t="shared" si="11"/>
        <v>0.010000000000000009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355253.41000000003</v>
      </c>
      <c r="F59" s="191">
        <f>F8+F33+F57+F58</f>
        <v>334671.6099999999</v>
      </c>
      <c r="G59" s="191">
        <f>F59-E59</f>
        <v>-20581.800000000105</v>
      </c>
      <c r="H59" s="192">
        <f>F59/E59*100</f>
        <v>94.20644547789138</v>
      </c>
      <c r="I59" s="193">
        <f>F59-D59</f>
        <v>-549228.99</v>
      </c>
      <c r="J59" s="193">
        <f>F59/D59*100</f>
        <v>37.86303686183717</v>
      </c>
      <c r="K59" s="193">
        <f>F59-265734.15</f>
        <v>68937.4599999999</v>
      </c>
      <c r="L59" s="193">
        <f>F59/265734.15*100</f>
        <v>125.94226598275003</v>
      </c>
      <c r="M59" s="191">
        <f>M8+M33+M57+M58</f>
        <v>69325.1</v>
      </c>
      <c r="N59" s="191">
        <f>N8+N33+N57+N58</f>
        <v>23766.466</v>
      </c>
      <c r="O59" s="195">
        <f>N59-M59</f>
        <v>-45558.634000000005</v>
      </c>
      <c r="P59" s="193">
        <f>N59/M59*100</f>
        <v>34.282627792819625</v>
      </c>
      <c r="Q59" s="28">
        <f>N59-34768</f>
        <v>-11001.534</v>
      </c>
      <c r="R59" s="128">
        <f>N59/34768</f>
        <v>0.6835729981592269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0.01</v>
      </c>
      <c r="G64" s="202"/>
      <c r="H64" s="204"/>
      <c r="I64" s="207"/>
      <c r="J64" s="207"/>
      <c r="K64" s="207">
        <f>F64-0</f>
        <v>0.01</v>
      </c>
      <c r="L64" s="207"/>
      <c r="M64" s="202"/>
      <c r="N64" s="223">
        <f>F64-квітень!F64</f>
        <v>-4.49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F65-(-19.39)</f>
        <v>19.12</v>
      </c>
      <c r="L65" s="207">
        <f>F65/(-19.39)*100</f>
        <v>1.3924703455389378</v>
      </c>
      <c r="M65" s="204"/>
      <c r="N65" s="223">
        <f>F65-квітень!F65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-0.26</v>
      </c>
      <c r="G66" s="226">
        <f>F66-E66</f>
        <v>-0.26</v>
      </c>
      <c r="H66" s="227"/>
      <c r="I66" s="228">
        <f>F66-D66</f>
        <v>-0.26</v>
      </c>
      <c r="J66" s="228"/>
      <c r="K66" s="228">
        <f>F66-(-19.39)</f>
        <v>19.13</v>
      </c>
      <c r="L66" s="228">
        <f>F66/(-19.39)*100</f>
        <v>1.3408973697782363</v>
      </c>
      <c r="M66" s="226">
        <f>M65</f>
        <v>0</v>
      </c>
      <c r="N66" s="229">
        <f>SUM(N64:N65)</f>
        <v>-4.49</v>
      </c>
      <c r="O66" s="228">
        <f>N66-M66</f>
        <v>-4.49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913</v>
      </c>
      <c r="F68" s="222">
        <v>1041.94</v>
      </c>
      <c r="G68" s="202">
        <f aca="true" t="shared" si="13" ref="G68:G78">F68-E68</f>
        <v>128.94000000000005</v>
      </c>
      <c r="H68" s="204"/>
      <c r="I68" s="207">
        <f aca="true" t="shared" si="14" ref="I68:I78">F68-D68</f>
        <v>-3158.06</v>
      </c>
      <c r="J68" s="207">
        <f>F68/D68*100</f>
        <v>24.80809523809524</v>
      </c>
      <c r="K68" s="207">
        <f>F68-193.96</f>
        <v>847.98</v>
      </c>
      <c r="L68" s="207">
        <f>F68/193.96*100</f>
        <v>537.193235718705</v>
      </c>
      <c r="M68" s="204">
        <f>E68-квітень!E68</f>
        <v>546.4</v>
      </c>
      <c r="N68" s="208">
        <f>F68-квітень!F68</f>
        <v>741.0600000000001</v>
      </c>
      <c r="O68" s="207">
        <f aca="true" t="shared" si="15" ref="O68:O81">N68-M68</f>
        <v>194.66000000000008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1951.11</v>
      </c>
      <c r="F69" s="222">
        <v>495.61</v>
      </c>
      <c r="G69" s="202">
        <f t="shared" si="13"/>
        <v>-1455.5</v>
      </c>
      <c r="H69" s="204">
        <f>F69/E69*100</f>
        <v>25.401438155716495</v>
      </c>
      <c r="I69" s="207">
        <f t="shared" si="14"/>
        <v>-6963.39</v>
      </c>
      <c r="J69" s="207">
        <f>F69/D69*100</f>
        <v>6.644456361442552</v>
      </c>
      <c r="K69" s="207">
        <f>F69-2467.51</f>
        <v>-1971.9</v>
      </c>
      <c r="L69" s="207">
        <f>F69/2467.51*100</f>
        <v>20.08543025154913</v>
      </c>
      <c r="M69" s="204">
        <f>E69-квітень!E69</f>
        <v>317.0999999999999</v>
      </c>
      <c r="N69" s="208">
        <f>F69-квітень!F69</f>
        <v>23.350000000000023</v>
      </c>
      <c r="O69" s="207">
        <f t="shared" si="15"/>
        <v>-293.7499999999999</v>
      </c>
      <c r="P69" s="207">
        <f>N69/M69*100</f>
        <v>7.363607694733531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1490.85</v>
      </c>
      <c r="F70" s="222">
        <v>9080.52</v>
      </c>
      <c r="G70" s="202">
        <f t="shared" si="13"/>
        <v>7589.67</v>
      </c>
      <c r="H70" s="204">
        <f>F70/E70*100</f>
        <v>609.0834087936413</v>
      </c>
      <c r="I70" s="207">
        <f t="shared" si="14"/>
        <v>3080.5200000000004</v>
      </c>
      <c r="J70" s="207">
        <f>F70/D70*100</f>
        <v>151.34199999999998</v>
      </c>
      <c r="K70" s="207">
        <f>F70-1668.2</f>
        <v>7412.320000000001</v>
      </c>
      <c r="L70" s="207">
        <f>F70/1668.2*100</f>
        <v>544.330416017264</v>
      </c>
      <c r="M70" s="204">
        <f>E70-квітень!E70</f>
        <v>302</v>
      </c>
      <c r="N70" s="208">
        <f>F70-квітень!F70</f>
        <v>270.4400000000005</v>
      </c>
      <c r="O70" s="207">
        <f t="shared" si="15"/>
        <v>-31.55999999999949</v>
      </c>
      <c r="P70" s="207">
        <f>N70/M70*100</f>
        <v>89.54966887417235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5</v>
      </c>
      <c r="F71" s="222">
        <v>5</v>
      </c>
      <c r="G71" s="202">
        <f t="shared" si="13"/>
        <v>0</v>
      </c>
      <c r="H71" s="204">
        <f>F71/E71*100</f>
        <v>100</v>
      </c>
      <c r="I71" s="207">
        <f t="shared" si="14"/>
        <v>-7</v>
      </c>
      <c r="J71" s="207">
        <f>F71/D71*100</f>
        <v>41.66666666666667</v>
      </c>
      <c r="K71" s="207">
        <f>F71-0</f>
        <v>5</v>
      </c>
      <c r="L71" s="207"/>
      <c r="M71" s="204">
        <f>E71-квітень!E71</f>
        <v>1</v>
      </c>
      <c r="N71" s="208">
        <f>F71-квітень!F71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4359.959999999999</v>
      </c>
      <c r="F72" s="225">
        <f>F68+F69+F70+F71</f>
        <v>10623.07</v>
      </c>
      <c r="G72" s="226">
        <f t="shared" si="13"/>
        <v>6263.110000000001</v>
      </c>
      <c r="H72" s="227">
        <f>F72/E72*100</f>
        <v>243.650629822292</v>
      </c>
      <c r="I72" s="228">
        <f t="shared" si="14"/>
        <v>-7047.93</v>
      </c>
      <c r="J72" s="228">
        <f>F72/D72*100</f>
        <v>60.11583951106332</v>
      </c>
      <c r="K72" s="228">
        <f>F72-4329.67</f>
        <v>6293.4</v>
      </c>
      <c r="L72" s="228">
        <f>F72/4329.67*100</f>
        <v>245.3551887326286</v>
      </c>
      <c r="M72" s="226">
        <f>M68+M69+M70+M71</f>
        <v>1166.5</v>
      </c>
      <c r="N72" s="230">
        <f>N68+N69+N70+N71</f>
        <v>1035.8500000000006</v>
      </c>
      <c r="O72" s="228">
        <f t="shared" si="15"/>
        <v>-130.6499999999994</v>
      </c>
      <c r="P72" s="228">
        <f>N72/M72*100</f>
        <v>88.79982854693532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E73-квітень!E73</f>
        <v>0</v>
      </c>
      <c r="N73" s="208">
        <f>F73-квітень!F73</f>
        <v>0</v>
      </c>
      <c r="O73" s="207">
        <f t="shared" si="15"/>
        <v>0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5117</v>
      </c>
      <c r="F75" s="222">
        <v>2042.24</v>
      </c>
      <c r="G75" s="202">
        <f t="shared" si="13"/>
        <v>-3074.76</v>
      </c>
      <c r="H75" s="204">
        <f>F75/E75*100</f>
        <v>39.9108852843463</v>
      </c>
      <c r="I75" s="207">
        <f t="shared" si="14"/>
        <v>-7457.76</v>
      </c>
      <c r="J75" s="207">
        <f>F75/D75*100</f>
        <v>21.497263157894736</v>
      </c>
      <c r="K75" s="207">
        <f>F75-0</f>
        <v>2042.24</v>
      </c>
      <c r="L75" s="207"/>
      <c r="M75" s="204">
        <f>E75-квітень!E75</f>
        <v>3096.3</v>
      </c>
      <c r="N75" s="208">
        <f>F75-квітень!F75</f>
        <v>6.710000000000036</v>
      </c>
      <c r="O75" s="207">
        <f>N75-M75</f>
        <v>-3089.59</v>
      </c>
      <c r="P75" s="231">
        <f>N75/M75*100</f>
        <v>0.2167102670929831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F76-0.95</f>
        <v>-0.42999999999999994</v>
      </c>
      <c r="L76" s="207">
        <f>F76/0.95*100</f>
        <v>54.736842105263165</v>
      </c>
      <c r="M76" s="204">
        <f>E76-квітень!E76</f>
        <v>0</v>
      </c>
      <c r="N76" s="208">
        <f>F76-квітень!F76</f>
        <v>0</v>
      </c>
      <c r="O76" s="207">
        <f t="shared" si="15"/>
        <v>0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5117</v>
      </c>
      <c r="F77" s="225">
        <f>F73+F76+F74+F75</f>
        <v>2045.82</v>
      </c>
      <c r="G77" s="224">
        <f>G73+G76+G74+G75</f>
        <v>-3071.1800000000003</v>
      </c>
      <c r="H77" s="227">
        <f>F77/E77*100</f>
        <v>39.98084815321477</v>
      </c>
      <c r="I77" s="228">
        <f t="shared" si="14"/>
        <v>-7455.18</v>
      </c>
      <c r="J77" s="228">
        <f>F77/D77*100</f>
        <v>21.532680770445214</v>
      </c>
      <c r="K77" s="228">
        <f>F77-0.95</f>
        <v>2044.87</v>
      </c>
      <c r="L77" s="228">
        <f>F77/0.95*100</f>
        <v>215349.47368421053</v>
      </c>
      <c r="M77" s="226">
        <f>M73+M76+M74+M75</f>
        <v>3096.3</v>
      </c>
      <c r="N77" s="230">
        <f>N73+N76+N74+N75</f>
        <v>6.710000000000036</v>
      </c>
      <c r="O77" s="226">
        <f>O73+O76+O74+O75</f>
        <v>-3089.59</v>
      </c>
      <c r="P77" s="228">
        <f>N77/M77*100</f>
        <v>0.2167102670929831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13.8</v>
      </c>
      <c r="F78" s="222">
        <v>9.19</v>
      </c>
      <c r="G78" s="202">
        <f t="shared" si="13"/>
        <v>-4.610000000000001</v>
      </c>
      <c r="H78" s="204">
        <f>F78/E78*100</f>
        <v>66.59420289855072</v>
      </c>
      <c r="I78" s="207">
        <f t="shared" si="14"/>
        <v>-33.81</v>
      </c>
      <c r="J78" s="207">
        <f>F78/D78*100</f>
        <v>21.37209302325581</v>
      </c>
      <c r="K78" s="207">
        <f>F78-14.05</f>
        <v>-4.860000000000001</v>
      </c>
      <c r="L78" s="207">
        <f>F78/14.05*100</f>
        <v>65.40925266903915</v>
      </c>
      <c r="M78" s="204">
        <f>E78-квітень!E78</f>
        <v>0.6600000000000001</v>
      </c>
      <c r="N78" s="208">
        <f>F78-квітень!F78</f>
        <v>0</v>
      </c>
      <c r="O78" s="207">
        <f t="shared" si="15"/>
        <v>-0.6600000000000001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9490.759999999998</v>
      </c>
      <c r="F80" s="232">
        <f>F66+F78+F72+F77+F79</f>
        <v>12677.82</v>
      </c>
      <c r="G80" s="233">
        <f>F80-E80</f>
        <v>3187.0600000000013</v>
      </c>
      <c r="H80" s="234">
        <f>F80/E80*100</f>
        <v>133.58066161192573</v>
      </c>
      <c r="I80" s="235">
        <f>F80-D80</f>
        <v>-14537.18</v>
      </c>
      <c r="J80" s="235">
        <f>F80/D80*100</f>
        <v>46.58394267866985</v>
      </c>
      <c r="K80" s="235">
        <f>F80-4325.48</f>
        <v>8352.34</v>
      </c>
      <c r="L80" s="235">
        <f>F80/4325.48*100</f>
        <v>293.0962575251764</v>
      </c>
      <c r="M80" s="232">
        <f>M66+M78+M72+M77</f>
        <v>4263.46</v>
      </c>
      <c r="N80" s="232">
        <f>N66+N78+N72+N77+N79</f>
        <v>1038.0700000000006</v>
      </c>
      <c r="O80" s="235">
        <f t="shared" si="15"/>
        <v>-3225.3899999999994</v>
      </c>
      <c r="P80" s="235">
        <f>N80/M80*100</f>
        <v>24.348064717389178</v>
      </c>
      <c r="Q80" s="28">
        <f>N80-8104.96</f>
        <v>-7066.889999999999</v>
      </c>
      <c r="R80" s="101">
        <f>N80/8104.96</f>
        <v>0.12807836189197733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364744.17000000004</v>
      </c>
      <c r="F81" s="232">
        <f>F59+F80</f>
        <v>347349.42999999993</v>
      </c>
      <c r="G81" s="233">
        <f>F81-E81</f>
        <v>-17394.740000000107</v>
      </c>
      <c r="H81" s="234">
        <f>F81/E81*100</f>
        <v>95.23097517912346</v>
      </c>
      <c r="I81" s="235">
        <f>F81-D81</f>
        <v>-563766.17</v>
      </c>
      <c r="J81" s="235">
        <f>F81/D81*100</f>
        <v>38.12353009870536</v>
      </c>
      <c r="K81" s="235">
        <f>F81-265734.15-4325.48</f>
        <v>77289.79999999992</v>
      </c>
      <c r="L81" s="235">
        <f>F81/(265734.15+4325.48)*100</f>
        <v>128.6195311753926</v>
      </c>
      <c r="M81" s="233">
        <f>M59+M80</f>
        <v>73588.56000000001</v>
      </c>
      <c r="N81" s="233">
        <f>N59+N80</f>
        <v>24804.536</v>
      </c>
      <c r="O81" s="235">
        <f t="shared" si="15"/>
        <v>-48784.02400000001</v>
      </c>
      <c r="P81" s="235">
        <f>N81/M81*100</f>
        <v>33.70705446607462</v>
      </c>
      <c r="Q81" s="28">
        <f>N81-42872.96</f>
        <v>-18068.424</v>
      </c>
      <c r="R81" s="101">
        <f>N81/42872.96</f>
        <v>0.5785589798325098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13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3504.5103076923083</v>
      </c>
      <c r="D84" s="4" t="s">
        <v>24</v>
      </c>
      <c r="G84" s="262"/>
      <c r="H84" s="262"/>
      <c r="I84" s="262"/>
      <c r="J84" s="262"/>
      <c r="K84" s="90"/>
      <c r="L84" s="90"/>
      <c r="P84" s="26"/>
      <c r="Q84" s="26"/>
    </row>
    <row r="85" spans="2:15" ht="34.5" customHeight="1">
      <c r="B85" s="58" t="s">
        <v>56</v>
      </c>
      <c r="C85" s="87">
        <v>42502</v>
      </c>
      <c r="D85" s="31">
        <v>2366.8</v>
      </c>
      <c r="G85" s="4" t="s">
        <v>59</v>
      </c>
      <c r="N85" s="263"/>
      <c r="O85" s="263"/>
    </row>
    <row r="86" spans="3:15" ht="15">
      <c r="C86" s="87">
        <v>42501</v>
      </c>
      <c r="D86" s="31">
        <v>2376.61</v>
      </c>
      <c r="F86" s="124" t="s">
        <v>59</v>
      </c>
      <c r="G86" s="264"/>
      <c r="H86" s="264"/>
      <c r="I86" s="131"/>
      <c r="J86" s="265"/>
      <c r="K86" s="265"/>
      <c r="L86" s="265"/>
      <c r="M86" s="265"/>
      <c r="N86" s="263"/>
      <c r="O86" s="263"/>
    </row>
    <row r="87" spans="3:15" ht="15.75" customHeight="1">
      <c r="C87" s="87">
        <v>42500</v>
      </c>
      <c r="D87" s="31">
        <v>2075.8</v>
      </c>
      <c r="F87" s="73"/>
      <c r="G87" s="264"/>
      <c r="H87" s="264"/>
      <c r="I87" s="131"/>
      <c r="J87" s="266"/>
      <c r="K87" s="266"/>
      <c r="L87" s="266"/>
      <c r="M87" s="266"/>
      <c r="N87" s="263"/>
      <c r="O87" s="263"/>
    </row>
    <row r="88" spans="3:13" ht="15.75" customHeight="1">
      <c r="C88" s="87"/>
      <c r="F88" s="73"/>
      <c r="G88" s="270"/>
      <c r="H88" s="270"/>
      <c r="I88" s="139"/>
      <c r="J88" s="265"/>
      <c r="K88" s="265"/>
      <c r="L88" s="265"/>
      <c r="M88" s="265"/>
    </row>
    <row r="89" spans="2:13" ht="18.75" customHeight="1">
      <c r="B89" s="271" t="s">
        <v>57</v>
      </c>
      <c r="C89" s="272"/>
      <c r="D89" s="148">
        <f>'[1]залишки  (2)'!$G$6/1000</f>
        <v>130.35916</v>
      </c>
      <c r="E89" s="74"/>
      <c r="F89" s="140" t="s">
        <v>137</v>
      </c>
      <c r="G89" s="264"/>
      <c r="H89" s="264"/>
      <c r="I89" s="141"/>
      <c r="J89" s="265"/>
      <c r="K89" s="265"/>
      <c r="L89" s="265"/>
      <c r="M89" s="265"/>
    </row>
    <row r="90" spans="6:12" ht="9.75" customHeight="1">
      <c r="F90" s="73"/>
      <c r="G90" s="264"/>
      <c r="H90" s="264"/>
      <c r="I90" s="73"/>
      <c r="J90" s="74"/>
      <c r="K90" s="74"/>
      <c r="L90" s="74"/>
    </row>
    <row r="91" spans="2:12" ht="22.5" customHeight="1" hidden="1">
      <c r="B91" s="267" t="s">
        <v>60</v>
      </c>
      <c r="C91" s="268"/>
      <c r="D91" s="86">
        <v>0</v>
      </c>
      <c r="E91" s="56" t="s">
        <v>24</v>
      </c>
      <c r="F91" s="73"/>
      <c r="G91" s="264"/>
      <c r="H91" s="26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64"/>
      <c r="O92" s="264"/>
    </row>
    <row r="93" spans="4:15" ht="15">
      <c r="D93" s="83"/>
      <c r="I93" s="31"/>
      <c r="N93" s="269"/>
      <c r="O93" s="269"/>
    </row>
    <row r="94" spans="14:15" ht="15">
      <c r="N94" s="264"/>
      <c r="O94" s="26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37" t="s">
        <v>156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92"/>
      <c r="R1" s="93"/>
    </row>
    <row r="2" spans="2:18" s="1" customFormat="1" ht="15.75" customHeight="1">
      <c r="B2" s="238"/>
      <c r="C2" s="238"/>
      <c r="D2" s="23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39"/>
      <c r="B3" s="241"/>
      <c r="C3" s="242" t="s">
        <v>0</v>
      </c>
      <c r="D3" s="243" t="s">
        <v>121</v>
      </c>
      <c r="E3" s="34"/>
      <c r="F3" s="244" t="s">
        <v>26</v>
      </c>
      <c r="G3" s="245"/>
      <c r="H3" s="245"/>
      <c r="I3" s="245"/>
      <c r="J3" s="246"/>
      <c r="K3" s="89"/>
      <c r="L3" s="89"/>
      <c r="M3" s="247" t="s">
        <v>153</v>
      </c>
      <c r="N3" s="250" t="s">
        <v>154</v>
      </c>
      <c r="O3" s="250"/>
      <c r="P3" s="250"/>
      <c r="Q3" s="250"/>
      <c r="R3" s="250"/>
    </row>
    <row r="4" spans="1:18" ht="22.5" customHeight="1">
      <c r="A4" s="239"/>
      <c r="B4" s="241"/>
      <c r="C4" s="242"/>
      <c r="D4" s="243"/>
      <c r="E4" s="251" t="s">
        <v>150</v>
      </c>
      <c r="F4" s="253" t="s">
        <v>34</v>
      </c>
      <c r="G4" s="255" t="s">
        <v>151</v>
      </c>
      <c r="H4" s="248" t="s">
        <v>152</v>
      </c>
      <c r="I4" s="255" t="s">
        <v>122</v>
      </c>
      <c r="J4" s="248" t="s">
        <v>123</v>
      </c>
      <c r="K4" s="91" t="s">
        <v>65</v>
      </c>
      <c r="L4" s="96" t="s">
        <v>64</v>
      </c>
      <c r="M4" s="248"/>
      <c r="N4" s="257" t="s">
        <v>157</v>
      </c>
      <c r="O4" s="255" t="s">
        <v>50</v>
      </c>
      <c r="P4" s="259" t="s">
        <v>49</v>
      </c>
      <c r="Q4" s="97" t="s">
        <v>65</v>
      </c>
      <c r="R4" s="98" t="s">
        <v>64</v>
      </c>
    </row>
    <row r="5" spans="1:18" ht="78.75" customHeight="1">
      <c r="A5" s="240"/>
      <c r="B5" s="241"/>
      <c r="C5" s="242"/>
      <c r="D5" s="243"/>
      <c r="E5" s="252"/>
      <c r="F5" s="254"/>
      <c r="G5" s="256"/>
      <c r="H5" s="249"/>
      <c r="I5" s="256"/>
      <c r="J5" s="249"/>
      <c r="K5" s="260" t="s">
        <v>155</v>
      </c>
      <c r="L5" s="261"/>
      <c r="M5" s="249"/>
      <c r="N5" s="258"/>
      <c r="O5" s="256"/>
      <c r="P5" s="259"/>
      <c r="Q5" s="260" t="s">
        <v>120</v>
      </c>
      <c r="R5" s="26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2"/>
      <c r="H84" s="262"/>
      <c r="I84" s="262"/>
      <c r="J84" s="26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63"/>
      <c r="O85" s="263"/>
    </row>
    <row r="86" spans="3:15" ht="15">
      <c r="C86" s="87">
        <v>42488</v>
      </c>
      <c r="D86" s="31">
        <v>11419.7</v>
      </c>
      <c r="F86" s="124" t="s">
        <v>59</v>
      </c>
      <c r="G86" s="264"/>
      <c r="H86" s="264"/>
      <c r="I86" s="131"/>
      <c r="J86" s="265"/>
      <c r="K86" s="265"/>
      <c r="L86" s="265"/>
      <c r="M86" s="265"/>
      <c r="N86" s="263"/>
      <c r="O86" s="263"/>
    </row>
    <row r="87" spans="3:15" ht="15.75" customHeight="1">
      <c r="C87" s="87">
        <v>42487</v>
      </c>
      <c r="D87" s="31">
        <v>7800.7</v>
      </c>
      <c r="F87" s="73"/>
      <c r="G87" s="264"/>
      <c r="H87" s="264"/>
      <c r="I87" s="131"/>
      <c r="J87" s="266"/>
      <c r="K87" s="266"/>
      <c r="L87" s="266"/>
      <c r="M87" s="266"/>
      <c r="N87" s="263"/>
      <c r="O87" s="263"/>
    </row>
    <row r="88" spans="3:13" ht="15.75" customHeight="1">
      <c r="C88" s="87"/>
      <c r="F88" s="73"/>
      <c r="G88" s="270"/>
      <c r="H88" s="270"/>
      <c r="I88" s="139"/>
      <c r="J88" s="265"/>
      <c r="K88" s="265"/>
      <c r="L88" s="265"/>
      <c r="M88" s="265"/>
    </row>
    <row r="89" spans="2:13" ht="18.75" customHeight="1">
      <c r="B89" s="271" t="s">
        <v>57</v>
      </c>
      <c r="C89" s="272"/>
      <c r="D89" s="148">
        <v>9087.9705</v>
      </c>
      <c r="E89" s="74"/>
      <c r="F89" s="140" t="s">
        <v>137</v>
      </c>
      <c r="G89" s="264"/>
      <c r="H89" s="264"/>
      <c r="I89" s="141"/>
      <c r="J89" s="265"/>
      <c r="K89" s="265"/>
      <c r="L89" s="265"/>
      <c r="M89" s="265"/>
    </row>
    <row r="90" spans="6:12" ht="9.75" customHeight="1">
      <c r="F90" s="73"/>
      <c r="G90" s="264"/>
      <c r="H90" s="264"/>
      <c r="I90" s="73"/>
      <c r="J90" s="74"/>
      <c r="K90" s="74"/>
      <c r="L90" s="74"/>
    </row>
    <row r="91" spans="2:12" ht="22.5" customHeight="1" hidden="1">
      <c r="B91" s="267" t="s">
        <v>60</v>
      </c>
      <c r="C91" s="268"/>
      <c r="D91" s="86">
        <v>0</v>
      </c>
      <c r="E91" s="56" t="s">
        <v>24</v>
      </c>
      <c r="F91" s="73"/>
      <c r="G91" s="264"/>
      <c r="H91" s="26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64"/>
      <c r="O92" s="264"/>
    </row>
    <row r="93" spans="4:15" ht="15">
      <c r="D93" s="83"/>
      <c r="I93" s="31"/>
      <c r="N93" s="269"/>
      <c r="O93" s="269"/>
    </row>
    <row r="94" spans="14:15" ht="15">
      <c r="N94" s="264"/>
      <c r="O94" s="26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37" t="s">
        <v>148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92"/>
      <c r="R1" s="93"/>
    </row>
    <row r="2" spans="2:18" s="1" customFormat="1" ht="15.75" customHeight="1">
      <c r="B2" s="238"/>
      <c r="C2" s="238"/>
      <c r="D2" s="23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39"/>
      <c r="B3" s="241"/>
      <c r="C3" s="242" t="s">
        <v>0</v>
      </c>
      <c r="D3" s="243" t="s">
        <v>121</v>
      </c>
      <c r="E3" s="34"/>
      <c r="F3" s="244" t="s">
        <v>26</v>
      </c>
      <c r="G3" s="245"/>
      <c r="H3" s="245"/>
      <c r="I3" s="245"/>
      <c r="J3" s="246"/>
      <c r="K3" s="89"/>
      <c r="L3" s="89"/>
      <c r="M3" s="247" t="s">
        <v>147</v>
      </c>
      <c r="N3" s="250" t="s">
        <v>143</v>
      </c>
      <c r="O3" s="250"/>
      <c r="P3" s="250"/>
      <c r="Q3" s="250"/>
      <c r="R3" s="250"/>
    </row>
    <row r="4" spans="1:18" ht="22.5" customHeight="1">
      <c r="A4" s="239"/>
      <c r="B4" s="241"/>
      <c r="C4" s="242"/>
      <c r="D4" s="243"/>
      <c r="E4" s="251" t="s">
        <v>146</v>
      </c>
      <c r="F4" s="253" t="s">
        <v>34</v>
      </c>
      <c r="G4" s="255" t="s">
        <v>141</v>
      </c>
      <c r="H4" s="248" t="s">
        <v>142</v>
      </c>
      <c r="I4" s="255" t="s">
        <v>122</v>
      </c>
      <c r="J4" s="248" t="s">
        <v>123</v>
      </c>
      <c r="K4" s="91" t="s">
        <v>65</v>
      </c>
      <c r="L4" s="96" t="s">
        <v>64</v>
      </c>
      <c r="M4" s="248"/>
      <c r="N4" s="257" t="s">
        <v>149</v>
      </c>
      <c r="O4" s="255" t="s">
        <v>50</v>
      </c>
      <c r="P4" s="259" t="s">
        <v>49</v>
      </c>
      <c r="Q4" s="97" t="s">
        <v>65</v>
      </c>
      <c r="R4" s="98" t="s">
        <v>64</v>
      </c>
    </row>
    <row r="5" spans="1:18" ht="78.75" customHeight="1">
      <c r="A5" s="240"/>
      <c r="B5" s="241"/>
      <c r="C5" s="242"/>
      <c r="D5" s="243"/>
      <c r="E5" s="252"/>
      <c r="F5" s="254"/>
      <c r="G5" s="256"/>
      <c r="H5" s="249"/>
      <c r="I5" s="256"/>
      <c r="J5" s="249"/>
      <c r="K5" s="260" t="s">
        <v>144</v>
      </c>
      <c r="L5" s="261"/>
      <c r="M5" s="249"/>
      <c r="N5" s="258"/>
      <c r="O5" s="256"/>
      <c r="P5" s="259"/>
      <c r="Q5" s="260" t="s">
        <v>120</v>
      </c>
      <c r="R5" s="26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2"/>
      <c r="H83" s="262"/>
      <c r="I83" s="262"/>
      <c r="J83" s="26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63"/>
      <c r="O84" s="263"/>
    </row>
    <row r="85" spans="3:15" ht="15">
      <c r="C85" s="87">
        <v>42459</v>
      </c>
      <c r="D85" s="31">
        <v>7576.3</v>
      </c>
      <c r="F85" s="124" t="s">
        <v>59</v>
      </c>
      <c r="G85" s="264"/>
      <c r="H85" s="264"/>
      <c r="I85" s="131"/>
      <c r="J85" s="265"/>
      <c r="K85" s="265"/>
      <c r="L85" s="265"/>
      <c r="M85" s="265"/>
      <c r="N85" s="263"/>
      <c r="O85" s="263"/>
    </row>
    <row r="86" spans="3:15" ht="15.75" customHeight="1">
      <c r="C86" s="87">
        <v>42458</v>
      </c>
      <c r="D86" s="31">
        <v>9190.1</v>
      </c>
      <c r="F86" s="73"/>
      <c r="G86" s="264"/>
      <c r="H86" s="264"/>
      <c r="I86" s="131"/>
      <c r="J86" s="266"/>
      <c r="K86" s="266"/>
      <c r="L86" s="266"/>
      <c r="M86" s="266"/>
      <c r="N86" s="263"/>
      <c r="O86" s="263"/>
    </row>
    <row r="87" spans="3:13" ht="15.75" customHeight="1">
      <c r="C87" s="87"/>
      <c r="F87" s="73"/>
      <c r="G87" s="270"/>
      <c r="H87" s="270"/>
      <c r="I87" s="139"/>
      <c r="J87" s="265"/>
      <c r="K87" s="265"/>
      <c r="L87" s="265"/>
      <c r="M87" s="265"/>
    </row>
    <row r="88" spans="2:13" ht="18.75" customHeight="1">
      <c r="B88" s="271" t="s">
        <v>57</v>
      </c>
      <c r="C88" s="272"/>
      <c r="D88" s="148">
        <f>4343.7</f>
        <v>4343.7</v>
      </c>
      <c r="E88" s="74"/>
      <c r="F88" s="140" t="s">
        <v>137</v>
      </c>
      <c r="G88" s="264"/>
      <c r="H88" s="264"/>
      <c r="I88" s="141"/>
      <c r="J88" s="265"/>
      <c r="K88" s="265"/>
      <c r="L88" s="265"/>
      <c r="M88" s="265"/>
    </row>
    <row r="89" spans="6:12" ht="9.75" customHeight="1">
      <c r="F89" s="73"/>
      <c r="G89" s="264"/>
      <c r="H89" s="264"/>
      <c r="I89" s="73"/>
      <c r="J89" s="74"/>
      <c r="K89" s="74"/>
      <c r="L89" s="74"/>
    </row>
    <row r="90" spans="2:12" ht="22.5" customHeight="1" hidden="1">
      <c r="B90" s="267" t="s">
        <v>60</v>
      </c>
      <c r="C90" s="268"/>
      <c r="D90" s="86">
        <v>0</v>
      </c>
      <c r="E90" s="56" t="s">
        <v>24</v>
      </c>
      <c r="F90" s="73"/>
      <c r="G90" s="264"/>
      <c r="H90" s="26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64"/>
      <c r="O91" s="264"/>
    </row>
    <row r="92" spans="4:15" ht="15">
      <c r="D92" s="83"/>
      <c r="I92" s="31"/>
      <c r="N92" s="269"/>
      <c r="O92" s="269"/>
    </row>
    <row r="93" spans="14:15" ht="15">
      <c r="N93" s="264"/>
      <c r="O93" s="26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37" t="s">
        <v>139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92"/>
      <c r="R1" s="93"/>
    </row>
    <row r="2" spans="2:18" s="1" customFormat="1" ht="15.75" customHeight="1">
      <c r="B2" s="238"/>
      <c r="C2" s="238"/>
      <c r="D2" s="23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39"/>
      <c r="B3" s="241"/>
      <c r="C3" s="242" t="s">
        <v>0</v>
      </c>
      <c r="D3" s="243" t="s">
        <v>121</v>
      </c>
      <c r="E3" s="34"/>
      <c r="F3" s="244" t="s">
        <v>26</v>
      </c>
      <c r="G3" s="245"/>
      <c r="H3" s="245"/>
      <c r="I3" s="245"/>
      <c r="J3" s="246"/>
      <c r="K3" s="89"/>
      <c r="L3" s="89"/>
      <c r="M3" s="273" t="s">
        <v>128</v>
      </c>
      <c r="N3" s="250" t="s">
        <v>119</v>
      </c>
      <c r="O3" s="250"/>
      <c r="P3" s="250"/>
      <c r="Q3" s="250"/>
      <c r="R3" s="250"/>
    </row>
    <row r="4" spans="1:18" ht="22.5" customHeight="1">
      <c r="A4" s="239"/>
      <c r="B4" s="241"/>
      <c r="C4" s="242"/>
      <c r="D4" s="243"/>
      <c r="E4" s="251" t="s">
        <v>127</v>
      </c>
      <c r="F4" s="253" t="s">
        <v>34</v>
      </c>
      <c r="G4" s="255" t="s">
        <v>116</v>
      </c>
      <c r="H4" s="248" t="s">
        <v>117</v>
      </c>
      <c r="I4" s="255" t="s">
        <v>122</v>
      </c>
      <c r="J4" s="248" t="s">
        <v>123</v>
      </c>
      <c r="K4" s="91" t="s">
        <v>65</v>
      </c>
      <c r="L4" s="96" t="s">
        <v>64</v>
      </c>
      <c r="M4" s="248"/>
      <c r="N4" s="257" t="s">
        <v>140</v>
      </c>
      <c r="O4" s="255" t="s">
        <v>50</v>
      </c>
      <c r="P4" s="259" t="s">
        <v>49</v>
      </c>
      <c r="Q4" s="97" t="s">
        <v>65</v>
      </c>
      <c r="R4" s="98" t="s">
        <v>64</v>
      </c>
    </row>
    <row r="5" spans="1:18" ht="92.25" customHeight="1">
      <c r="A5" s="240"/>
      <c r="B5" s="241"/>
      <c r="C5" s="242"/>
      <c r="D5" s="243"/>
      <c r="E5" s="252"/>
      <c r="F5" s="254"/>
      <c r="G5" s="256"/>
      <c r="H5" s="249"/>
      <c r="I5" s="256"/>
      <c r="J5" s="249"/>
      <c r="K5" s="260" t="s">
        <v>118</v>
      </c>
      <c r="L5" s="261"/>
      <c r="M5" s="249"/>
      <c r="N5" s="258"/>
      <c r="O5" s="256"/>
      <c r="P5" s="259"/>
      <c r="Q5" s="260" t="s">
        <v>120</v>
      </c>
      <c r="R5" s="26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2"/>
      <c r="H83" s="262"/>
      <c r="I83" s="262"/>
      <c r="J83" s="26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63"/>
      <c r="O84" s="263"/>
    </row>
    <row r="85" spans="3:15" ht="15">
      <c r="C85" s="87">
        <v>42426</v>
      </c>
      <c r="D85" s="31">
        <v>6256.2</v>
      </c>
      <c r="F85" s="124" t="s">
        <v>59</v>
      </c>
      <c r="G85" s="264"/>
      <c r="H85" s="264"/>
      <c r="I85" s="131"/>
      <c r="J85" s="265"/>
      <c r="K85" s="265"/>
      <c r="L85" s="265"/>
      <c r="M85" s="265"/>
      <c r="N85" s="263"/>
      <c r="O85" s="263"/>
    </row>
    <row r="86" spans="3:15" ht="15.75" customHeight="1">
      <c r="C86" s="87">
        <v>42425</v>
      </c>
      <c r="D86" s="31">
        <v>3536.9</v>
      </c>
      <c r="F86" s="73"/>
      <c r="G86" s="264"/>
      <c r="H86" s="264"/>
      <c r="I86" s="131"/>
      <c r="J86" s="266"/>
      <c r="K86" s="266"/>
      <c r="L86" s="266"/>
      <c r="M86" s="266"/>
      <c r="N86" s="263"/>
      <c r="O86" s="263"/>
    </row>
    <row r="87" spans="3:13" ht="15.75" customHeight="1">
      <c r="C87" s="87"/>
      <c r="F87" s="73"/>
      <c r="G87" s="270"/>
      <c r="H87" s="270"/>
      <c r="I87" s="139"/>
      <c r="J87" s="265"/>
      <c r="K87" s="265"/>
      <c r="L87" s="265"/>
      <c r="M87" s="265"/>
    </row>
    <row r="88" spans="2:13" ht="18.75" customHeight="1">
      <c r="B88" s="271" t="s">
        <v>57</v>
      </c>
      <c r="C88" s="272"/>
      <c r="D88" s="148">
        <v>505.3</v>
      </c>
      <c r="E88" s="74"/>
      <c r="F88" s="140" t="s">
        <v>137</v>
      </c>
      <c r="G88" s="264"/>
      <c r="H88" s="264"/>
      <c r="I88" s="141"/>
      <c r="J88" s="265"/>
      <c r="K88" s="265"/>
      <c r="L88" s="265"/>
      <c r="M88" s="265"/>
    </row>
    <row r="89" spans="6:12" ht="9.75" customHeight="1">
      <c r="F89" s="73"/>
      <c r="G89" s="264"/>
      <c r="H89" s="264"/>
      <c r="I89" s="73"/>
      <c r="J89" s="74"/>
      <c r="K89" s="74"/>
      <c r="L89" s="74"/>
    </row>
    <row r="90" spans="2:12" ht="22.5" customHeight="1" hidden="1">
      <c r="B90" s="267" t="s">
        <v>60</v>
      </c>
      <c r="C90" s="268"/>
      <c r="D90" s="86">
        <v>0</v>
      </c>
      <c r="E90" s="56" t="s">
        <v>24</v>
      </c>
      <c r="F90" s="73"/>
      <c r="G90" s="264"/>
      <c r="H90" s="26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64"/>
      <c r="O91" s="264"/>
    </row>
    <row r="92" spans="4:15" ht="15">
      <c r="D92" s="83"/>
      <c r="I92" s="31"/>
      <c r="N92" s="269"/>
      <c r="O92" s="269"/>
    </row>
    <row r="93" spans="14:15" ht="15">
      <c r="N93" s="264"/>
      <c r="O93" s="26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37" t="s">
        <v>114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92"/>
      <c r="R1" s="93"/>
    </row>
    <row r="2" spans="2:18" s="1" customFormat="1" ht="15.75" customHeight="1">
      <c r="B2" s="238"/>
      <c r="C2" s="238"/>
      <c r="D2" s="23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39"/>
      <c r="B3" s="241" t="s">
        <v>135</v>
      </c>
      <c r="C3" s="242" t="s">
        <v>0</v>
      </c>
      <c r="D3" s="243" t="s">
        <v>121</v>
      </c>
      <c r="E3" s="34"/>
      <c r="F3" s="244" t="s">
        <v>26</v>
      </c>
      <c r="G3" s="245"/>
      <c r="H3" s="245"/>
      <c r="I3" s="245"/>
      <c r="J3" s="246"/>
      <c r="K3" s="89"/>
      <c r="L3" s="89"/>
      <c r="M3" s="273" t="s">
        <v>132</v>
      </c>
      <c r="N3" s="250" t="s">
        <v>66</v>
      </c>
      <c r="O3" s="250"/>
      <c r="P3" s="250"/>
      <c r="Q3" s="250"/>
      <c r="R3" s="250"/>
    </row>
    <row r="4" spans="1:18" ht="22.5" customHeight="1">
      <c r="A4" s="239"/>
      <c r="B4" s="241"/>
      <c r="C4" s="242"/>
      <c r="D4" s="243"/>
      <c r="E4" s="251" t="s">
        <v>129</v>
      </c>
      <c r="F4" s="253" t="s">
        <v>34</v>
      </c>
      <c r="G4" s="255" t="s">
        <v>130</v>
      </c>
      <c r="H4" s="248" t="s">
        <v>131</v>
      </c>
      <c r="I4" s="255" t="s">
        <v>122</v>
      </c>
      <c r="J4" s="248" t="s">
        <v>123</v>
      </c>
      <c r="K4" s="91" t="s">
        <v>65</v>
      </c>
      <c r="L4" s="96" t="s">
        <v>64</v>
      </c>
      <c r="M4" s="248"/>
      <c r="N4" s="274" t="s">
        <v>133</v>
      </c>
      <c r="O4" s="255" t="s">
        <v>50</v>
      </c>
      <c r="P4" s="259" t="s">
        <v>49</v>
      </c>
      <c r="Q4" s="97" t="s">
        <v>65</v>
      </c>
      <c r="R4" s="98" t="s">
        <v>64</v>
      </c>
    </row>
    <row r="5" spans="1:18" ht="92.25" customHeight="1">
      <c r="A5" s="240"/>
      <c r="B5" s="241"/>
      <c r="C5" s="242"/>
      <c r="D5" s="243"/>
      <c r="E5" s="252"/>
      <c r="F5" s="254"/>
      <c r="G5" s="256"/>
      <c r="H5" s="249"/>
      <c r="I5" s="256"/>
      <c r="J5" s="249"/>
      <c r="K5" s="260" t="s">
        <v>134</v>
      </c>
      <c r="L5" s="261"/>
      <c r="M5" s="249"/>
      <c r="N5" s="275"/>
      <c r="O5" s="256"/>
      <c r="P5" s="259"/>
      <c r="Q5" s="260" t="s">
        <v>120</v>
      </c>
      <c r="R5" s="26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2"/>
      <c r="H83" s="262"/>
      <c r="I83" s="262"/>
      <c r="J83" s="26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63"/>
      <c r="O84" s="263"/>
    </row>
    <row r="85" spans="3:15" ht="15">
      <c r="C85" s="87">
        <v>42397</v>
      </c>
      <c r="D85" s="31">
        <v>8685</v>
      </c>
      <c r="F85" s="124" t="s">
        <v>59</v>
      </c>
      <c r="G85" s="264"/>
      <c r="H85" s="264"/>
      <c r="I85" s="131"/>
      <c r="J85" s="265"/>
      <c r="K85" s="265"/>
      <c r="L85" s="265"/>
      <c r="M85" s="265"/>
      <c r="N85" s="263"/>
      <c r="O85" s="263"/>
    </row>
    <row r="86" spans="3:15" ht="15.75" customHeight="1">
      <c r="C86" s="87">
        <v>42396</v>
      </c>
      <c r="D86" s="31">
        <v>4820.3</v>
      </c>
      <c r="F86" s="73"/>
      <c r="G86" s="264"/>
      <c r="H86" s="264"/>
      <c r="I86" s="131"/>
      <c r="J86" s="266"/>
      <c r="K86" s="266"/>
      <c r="L86" s="266"/>
      <c r="M86" s="266"/>
      <c r="N86" s="263"/>
      <c r="O86" s="263"/>
    </row>
    <row r="87" spans="3:13" ht="15.75" customHeight="1">
      <c r="C87" s="87"/>
      <c r="F87" s="73"/>
      <c r="G87" s="270"/>
      <c r="H87" s="270"/>
      <c r="I87" s="139"/>
      <c r="J87" s="265"/>
      <c r="K87" s="265"/>
      <c r="L87" s="265"/>
      <c r="M87" s="265"/>
    </row>
    <row r="88" spans="2:13" ht="18.75" customHeight="1">
      <c r="B88" s="271" t="s">
        <v>57</v>
      </c>
      <c r="C88" s="272"/>
      <c r="D88" s="148">
        <v>300.92</v>
      </c>
      <c r="E88" s="74"/>
      <c r="F88" s="140"/>
      <c r="G88" s="264"/>
      <c r="H88" s="264"/>
      <c r="I88" s="141"/>
      <c r="J88" s="265"/>
      <c r="K88" s="265"/>
      <c r="L88" s="265"/>
      <c r="M88" s="265"/>
    </row>
    <row r="89" spans="6:12" ht="9.75" customHeight="1">
      <c r="F89" s="73"/>
      <c r="G89" s="264"/>
      <c r="H89" s="264"/>
      <c r="I89" s="73"/>
      <c r="J89" s="74"/>
      <c r="K89" s="74"/>
      <c r="L89" s="74"/>
    </row>
    <row r="90" spans="2:12" ht="22.5" customHeight="1" hidden="1">
      <c r="B90" s="267" t="s">
        <v>60</v>
      </c>
      <c r="C90" s="268"/>
      <c r="D90" s="86">
        <v>0</v>
      </c>
      <c r="E90" s="56" t="s">
        <v>24</v>
      </c>
      <c r="F90" s="73"/>
      <c r="G90" s="264"/>
      <c r="H90" s="26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64"/>
      <c r="O91" s="264"/>
    </row>
    <row r="92" spans="4:15" ht="15">
      <c r="D92" s="83"/>
      <c r="I92" s="31"/>
      <c r="N92" s="269"/>
      <c r="O92" s="269"/>
    </row>
    <row r="93" spans="14:15" ht="15">
      <c r="N93" s="264"/>
      <c r="O93" s="26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37" t="s">
        <v>114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92"/>
      <c r="R1" s="93"/>
    </row>
    <row r="2" spans="2:18" s="1" customFormat="1" ht="15.75" customHeight="1">
      <c r="B2" s="238"/>
      <c r="C2" s="238"/>
      <c r="D2" s="23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39"/>
      <c r="B3" s="241" t="s">
        <v>136</v>
      </c>
      <c r="C3" s="242" t="s">
        <v>0</v>
      </c>
      <c r="D3" s="243" t="s">
        <v>115</v>
      </c>
      <c r="E3" s="34"/>
      <c r="F3" s="244" t="s">
        <v>26</v>
      </c>
      <c r="G3" s="245"/>
      <c r="H3" s="245"/>
      <c r="I3" s="245"/>
      <c r="J3" s="246"/>
      <c r="K3" s="89"/>
      <c r="L3" s="89"/>
      <c r="M3" s="273" t="s">
        <v>107</v>
      </c>
      <c r="N3" s="250" t="s">
        <v>66</v>
      </c>
      <c r="O3" s="250"/>
      <c r="P3" s="250"/>
      <c r="Q3" s="250"/>
      <c r="R3" s="250"/>
    </row>
    <row r="4" spans="1:18" ht="22.5" customHeight="1">
      <c r="A4" s="239"/>
      <c r="B4" s="241"/>
      <c r="C4" s="242"/>
      <c r="D4" s="243"/>
      <c r="E4" s="251" t="s">
        <v>104</v>
      </c>
      <c r="F4" s="276" t="s">
        <v>34</v>
      </c>
      <c r="G4" s="255" t="s">
        <v>109</v>
      </c>
      <c r="H4" s="248" t="s">
        <v>110</v>
      </c>
      <c r="I4" s="255" t="s">
        <v>105</v>
      </c>
      <c r="J4" s="248" t="s">
        <v>106</v>
      </c>
      <c r="K4" s="91" t="s">
        <v>65</v>
      </c>
      <c r="L4" s="96" t="s">
        <v>64</v>
      </c>
      <c r="M4" s="248"/>
      <c r="N4" s="274" t="s">
        <v>103</v>
      </c>
      <c r="O4" s="255" t="s">
        <v>50</v>
      </c>
      <c r="P4" s="259" t="s">
        <v>49</v>
      </c>
      <c r="Q4" s="97" t="s">
        <v>65</v>
      </c>
      <c r="R4" s="98" t="s">
        <v>64</v>
      </c>
    </row>
    <row r="5" spans="1:18" ht="76.5" customHeight="1">
      <c r="A5" s="240"/>
      <c r="B5" s="241"/>
      <c r="C5" s="242"/>
      <c r="D5" s="243"/>
      <c r="E5" s="252"/>
      <c r="F5" s="277"/>
      <c r="G5" s="256"/>
      <c r="H5" s="249"/>
      <c r="I5" s="256"/>
      <c r="J5" s="249"/>
      <c r="K5" s="260" t="s">
        <v>108</v>
      </c>
      <c r="L5" s="261"/>
      <c r="M5" s="249"/>
      <c r="N5" s="275"/>
      <c r="O5" s="256"/>
      <c r="P5" s="259"/>
      <c r="Q5" s="260" t="s">
        <v>126</v>
      </c>
      <c r="R5" s="26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2"/>
      <c r="H82" s="262"/>
      <c r="I82" s="262"/>
      <c r="J82" s="26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63"/>
      <c r="O83" s="263"/>
    </row>
    <row r="84" spans="3:15" ht="15">
      <c r="C84" s="87">
        <v>42397</v>
      </c>
      <c r="D84" s="31">
        <v>8685</v>
      </c>
      <c r="F84" s="166" t="s">
        <v>59</v>
      </c>
      <c r="G84" s="264"/>
      <c r="H84" s="264"/>
      <c r="I84" s="131"/>
      <c r="J84" s="265"/>
      <c r="K84" s="265"/>
      <c r="L84" s="265"/>
      <c r="M84" s="265"/>
      <c r="N84" s="263"/>
      <c r="O84" s="263"/>
    </row>
    <row r="85" spans="3:15" ht="15.75" customHeight="1">
      <c r="C85" s="87">
        <v>42396</v>
      </c>
      <c r="D85" s="31">
        <v>4820.3</v>
      </c>
      <c r="F85" s="167"/>
      <c r="G85" s="264"/>
      <c r="H85" s="264"/>
      <c r="I85" s="131"/>
      <c r="J85" s="266"/>
      <c r="K85" s="266"/>
      <c r="L85" s="266"/>
      <c r="M85" s="266"/>
      <c r="N85" s="263"/>
      <c r="O85" s="263"/>
    </row>
    <row r="86" spans="3:13" ht="15.75" customHeight="1">
      <c r="C86" s="87"/>
      <c r="F86" s="167"/>
      <c r="G86" s="270"/>
      <c r="H86" s="270"/>
      <c r="I86" s="139"/>
      <c r="J86" s="265"/>
      <c r="K86" s="265"/>
      <c r="L86" s="265"/>
      <c r="M86" s="265"/>
    </row>
    <row r="87" spans="2:13" ht="18.75" customHeight="1">
      <c r="B87" s="271" t="s">
        <v>57</v>
      </c>
      <c r="C87" s="272"/>
      <c r="D87" s="148">
        <v>300.92</v>
      </c>
      <c r="E87" s="74"/>
      <c r="F87" s="168"/>
      <c r="G87" s="264"/>
      <c r="H87" s="264"/>
      <c r="I87" s="141"/>
      <c r="J87" s="265"/>
      <c r="K87" s="265"/>
      <c r="L87" s="265"/>
      <c r="M87" s="265"/>
    </row>
    <row r="88" spans="6:12" ht="9.75" customHeight="1">
      <c r="F88" s="167"/>
      <c r="G88" s="264"/>
      <c r="H88" s="264"/>
      <c r="I88" s="73"/>
      <c r="J88" s="74"/>
      <c r="K88" s="74"/>
      <c r="L88" s="74"/>
    </row>
    <row r="89" spans="2:12" ht="22.5" customHeight="1" hidden="1">
      <c r="B89" s="267" t="s">
        <v>60</v>
      </c>
      <c r="C89" s="268"/>
      <c r="D89" s="86">
        <v>0</v>
      </c>
      <c r="E89" s="56" t="s">
        <v>24</v>
      </c>
      <c r="F89" s="167"/>
      <c r="G89" s="264"/>
      <c r="H89" s="26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64"/>
      <c r="O90" s="264"/>
    </row>
    <row r="91" spans="4:15" ht="15">
      <c r="D91" s="83"/>
      <c r="I91" s="31"/>
      <c r="N91" s="269"/>
      <c r="O91" s="269"/>
    </row>
    <row r="92" spans="14:15" ht="15">
      <c r="N92" s="264"/>
      <c r="O92" s="26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2016-05-13T12:04:54Z</cp:lastPrinted>
  <dcterms:created xsi:type="dcterms:W3CDTF">2003-07-28T11:27:56Z</dcterms:created>
  <dcterms:modified xsi:type="dcterms:W3CDTF">2016-05-13T12:12:18Z</dcterms:modified>
  <cp:category/>
  <cp:version/>
  <cp:contentType/>
  <cp:contentStatus/>
</cp:coreProperties>
</file>